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599" activeTab="0"/>
  </bookViews>
  <sheets>
    <sheet name="Телевизионная 2а" sheetId="1" r:id="rId1"/>
    <sheet name="Пионерская 16" sheetId="2" r:id="rId2"/>
    <sheet name=" Пионерская 1318 кв.1-50" sheetId="3" r:id="rId3"/>
    <sheet name=" Пионерская 1318 кв.51-64" sheetId="4" r:id="rId4"/>
    <sheet name="Багговута 12" sheetId="5" r:id="rId5"/>
    <sheet name="Пионерская 15" sheetId="6" r:id="rId6"/>
    <sheet name="Социалистическая 3" sheetId="7" r:id="rId7"/>
    <sheet name="Социалистическая 4" sheetId="8" r:id="rId8"/>
    <sheet name="Социалистическая 6 к.1" sheetId="9" r:id="rId9"/>
    <sheet name="Социалистическая 6" sheetId="10" r:id="rId10"/>
    <sheet name="Социалистическая 9" sheetId="11" r:id="rId11"/>
    <sheet name="Социалистическая 12" sheetId="12" r:id="rId12"/>
    <sheet name="Телевизионная 2" sheetId="13" r:id="rId13"/>
    <sheet name="Телевизионная 4" sheetId="14" r:id="rId14"/>
    <sheet name="Чичерина 7а" sheetId="15" r:id="rId15"/>
    <sheet name="Чичерина 8" sheetId="16" r:id="rId16"/>
    <sheet name="Чичерина 16 к. 1" sheetId="17" r:id="rId17"/>
    <sheet name="пер.Чичерина 24" sheetId="18" r:id="rId18"/>
    <sheet name="пер. Чичерина 28" sheetId="19" r:id="rId19"/>
    <sheet name="Калинина 12" sheetId="20" r:id="rId20"/>
    <sheet name="Калинина 18" sheetId="21" r:id="rId21"/>
    <sheet name="Калинина 23" sheetId="22" r:id="rId22"/>
    <sheet name="Пионерская 9" sheetId="23" r:id="rId23"/>
    <sheet name="Высокая 4" sheetId="24" r:id="rId24"/>
    <sheet name="Пухова 15" sheetId="25" r:id="rId25"/>
    <sheet name="Пухова 17" sheetId="26" r:id="rId26"/>
    <sheet name="Калинина 4" sheetId="27" r:id="rId27"/>
    <sheet name="Тельмана 10" sheetId="28" r:id="rId28"/>
    <sheet name="Пионерская 18" sheetId="29" r:id="rId29"/>
    <sheet name="Чичерина 12 к.1" sheetId="30" r:id="rId30"/>
    <sheet name="Телевизионная 6 к.1" sheetId="31" r:id="rId31"/>
    <sheet name="Пионерская 2" sheetId="32" r:id="rId32"/>
    <sheet name="Телевизионная 2 к.1" sheetId="33" r:id="rId33"/>
    <sheet name="Чичерина 16" sheetId="34" r:id="rId34"/>
    <sheet name="Чичерина 19" sheetId="35" r:id="rId35"/>
    <sheet name="Чичерина 22" sheetId="36" r:id="rId36"/>
    <sheet name="Лист1" sheetId="37" state="hidden" r:id="rId37"/>
    <sheet name="Лист2" sheetId="38" state="hidden" r:id="rId38"/>
    <sheet name="Ленина 68,8" sheetId="39" r:id="rId39"/>
    <sheet name="Ленина 67" sheetId="40" r:id="rId40"/>
    <sheet name="Огарева 20" sheetId="41" r:id="rId41"/>
    <sheet name="Пролетарская 40" sheetId="42" r:id="rId42"/>
    <sheet name="Чижевского 4" sheetId="43" r:id="rId43"/>
    <sheet name="Билибина 10" sheetId="44" r:id="rId44"/>
    <sheet name="Ленина 61.5" sheetId="45" r:id="rId45"/>
    <sheet name="Билибина 26" sheetId="46" r:id="rId46"/>
    <sheet name="Московская 167" sheetId="47" r:id="rId47"/>
    <sheet name="Билибина 28" sheetId="48" r:id="rId48"/>
    <sheet name="Общее" sheetId="49" state="hidden" r:id="rId49"/>
    <sheet name="Пролетарская 135" sheetId="50" r:id="rId50"/>
    <sheet name="Молодежная 41" sheetId="51" r:id="rId51"/>
    <sheet name="Солнечный б-р 2 общий" sheetId="52" r:id="rId52"/>
    <sheet name="Солнечный б-р 4" sheetId="53" r:id="rId53"/>
    <sheet name="Солнечный б-р 4-1" sheetId="54" r:id="rId54"/>
    <sheet name="Солнечный б-р 4-2" sheetId="55" r:id="rId55"/>
    <sheet name="Аллейная 2" sheetId="56" r:id="rId56"/>
    <sheet name="Телевизионная 10" sheetId="57" r:id="rId57"/>
    <sheet name="Дубрава 1" sheetId="58" r:id="rId58"/>
    <sheet name="Дубрава 2" sheetId="59" r:id="rId59"/>
    <sheet name="Дубрава 3" sheetId="60" r:id="rId60"/>
    <sheet name="Дубрава 4" sheetId="61" r:id="rId61"/>
    <sheet name="Дубрава 5" sheetId="62" r:id="rId62"/>
    <sheet name="Дубрава 6" sheetId="63" r:id="rId63"/>
    <sheet name="Дубрава 7" sheetId="64" r:id="rId64"/>
    <sheet name="Дубрава 9" sheetId="65" r:id="rId65"/>
    <sheet name="Дубрава10" sheetId="66" r:id="rId66"/>
    <sheet name="Дубрава 11" sheetId="67" r:id="rId67"/>
    <sheet name="Нефтебаза 1" sheetId="68" r:id="rId68"/>
    <sheet name="Нефтебаза 2" sheetId="69" r:id="rId69"/>
    <sheet name="Нефтебаза 3" sheetId="70" r:id="rId70"/>
    <sheet name="Нефтебаза 4" sheetId="71" r:id="rId71"/>
    <sheet name="Нефтебаза 5" sheetId="72" r:id="rId72"/>
    <sheet name="Нефтебаза 6" sheetId="73" r:id="rId73"/>
    <sheet name="Аэропортовская 14" sheetId="74" r:id="rId74"/>
    <sheet name="Дорожная 11 корп1" sheetId="75" r:id="rId75"/>
    <sheet name="Дорожная 11 корп2" sheetId="76" r:id="rId76"/>
    <sheet name="Моторная 30А" sheetId="77" r:id="rId77"/>
    <sheet name="Грабцевское шоссе 160" sheetId="78" r:id="rId78"/>
    <sheet name="Аэропортовская 9" sheetId="79" r:id="rId79"/>
    <sheet name="Хрустальная 52" sheetId="80" r:id="rId80"/>
    <sheet name="Хрустальная 56" sheetId="81" r:id="rId81"/>
    <sheet name="Хрустальная 62" sheetId="82" r:id="rId82"/>
    <sheet name="Хрустальная 66" sheetId="83" r:id="rId83"/>
    <sheet name="Хрустальная 70" sheetId="84" r:id="rId84"/>
    <sheet name="Хрустальная 74" sheetId="85" r:id="rId85"/>
    <sheet name="Молодежная 46" sheetId="86" r:id="rId86"/>
    <sheet name="Молодежная 48" sheetId="87" r:id="rId87"/>
    <sheet name="Солнечный бульвар 20" sheetId="88" r:id="rId88"/>
    <sheet name="Грабцевское шоссе 132 корп.1" sheetId="89" r:id="rId89"/>
    <sheet name="Гагарина 9" sheetId="90" r:id="rId90"/>
    <sheet name="Добровольского 14" sheetId="91" r:id="rId91"/>
    <sheet name="Чижевского 12" sheetId="92" r:id="rId92"/>
    <sheet name="Чижевского 23" sheetId="93" r:id="rId93"/>
    <sheet name="Болотникова 16" sheetId="94" r:id="rId94"/>
    <sheet name="Плеханова 2 к.2" sheetId="95" r:id="rId95"/>
    <sheet name="65 лет Победы 29" sheetId="96" r:id="rId96"/>
    <sheet name="Суворова 153 к.5" sheetId="97" r:id="rId97"/>
    <sheet name="Кооперативная1дробь2" sheetId="98" r:id="rId98"/>
    <sheet name="Парижской Коммуны,1а" sheetId="99" r:id="rId99"/>
    <sheet name="А.Королева 29" sheetId="100" r:id="rId100"/>
    <sheet name="Калинина 15" sheetId="101" r:id="rId101"/>
    <sheet name="Грабцевское шоссе,77" sheetId="102" r:id="rId102"/>
    <sheet name="Грабцевское шоссе,78" sheetId="103" r:id="rId103"/>
    <sheet name="Октябрьская,8" sheetId="104" r:id="rId104"/>
    <sheet name="А.Королева,27" sheetId="105" r:id="rId105"/>
    <sheet name="Нефтебаза,7" sheetId="106" r:id="rId106"/>
    <sheet name="Пухова,51" sheetId="107" r:id="rId107"/>
    <sheet name="М.Жукова,23а" sheetId="108" r:id="rId108"/>
  </sheets>
  <externalReferences>
    <externalReference r:id="rId111"/>
    <externalReference r:id="rId112"/>
  </externalReferences>
  <definedNames>
    <definedName name="_xlnm.Print_Area" localSheetId="2">' Пионерская 1318 кв.1-50'!$A$1:$K$54</definedName>
    <definedName name="_xlnm.Print_Area" localSheetId="3">' Пионерская 1318 кв.51-64'!$A$1:$K$51</definedName>
    <definedName name="_xlnm.Print_Area" localSheetId="4">'Багговута 12'!$A$1:$K$58</definedName>
    <definedName name="_xlnm.Print_Area" localSheetId="50">'Молодежная 41'!$A$1:$K$65</definedName>
    <definedName name="_xlnm.Print_Area" localSheetId="17">'пер.Чичерина 24'!$A$1:$H$58</definedName>
    <definedName name="_xlnm.Print_Area" localSheetId="1">'Пионерская 16'!$A$1:$K$54</definedName>
    <definedName name="_xlnm.Print_Area" localSheetId="0">'Телевизионная 2а'!$A$1:$K$56</definedName>
  </definedNames>
  <calcPr fullCalcOnLoad="1" refMode="R1C1"/>
</workbook>
</file>

<file path=xl/sharedStrings.xml><?xml version="1.0" encoding="utf-8"?>
<sst xmlns="http://schemas.openxmlformats.org/spreadsheetml/2006/main" count="9358" uniqueCount="830">
  <si>
    <t>ОТЧЕТ УПРАВЛЯЮЩЕЙ ОРГАНИЗАЦИИ</t>
  </si>
  <si>
    <t>1. Общие сведения о многоквартирном доме</t>
  </si>
  <si>
    <t>Адрес многоквартирного дома:</t>
  </si>
  <si>
    <t>Общая площадь многоквартирного дома:</t>
  </si>
  <si>
    <t xml:space="preserve"> в том числе:</t>
  </si>
  <si>
    <t>а) жилых помещений (общая площадь квартир):</t>
  </si>
  <si>
    <t xml:space="preserve">                                        </t>
  </si>
  <si>
    <t>б) нежилых помещений :</t>
  </si>
  <si>
    <t xml:space="preserve">2. Отчет по затратам на содержание, ремонт </t>
  </si>
  <si>
    <t>общего имущества в многоквартирном доме и коммунальные услуги</t>
  </si>
  <si>
    <t>за отчетный период</t>
  </si>
  <si>
    <t>№ п/п</t>
  </si>
  <si>
    <t>Наименование</t>
  </si>
  <si>
    <t>Остаток средств на 01.01.2011 г., руб.</t>
  </si>
  <si>
    <t>1.</t>
  </si>
  <si>
    <t>Содержание общего имущества , в том числе:</t>
  </si>
  <si>
    <t>1.1.</t>
  </si>
  <si>
    <t>Управление многоквартирным домом</t>
  </si>
  <si>
    <t>1.2.</t>
  </si>
  <si>
    <t>Содержание конструктивных элементов</t>
  </si>
  <si>
    <t>1.3.</t>
  </si>
  <si>
    <t>Содержание инженерных сетей</t>
  </si>
  <si>
    <t>1.4.</t>
  </si>
  <si>
    <t>Содержание придомовой территории</t>
  </si>
  <si>
    <t>1.5.</t>
  </si>
  <si>
    <t>2.</t>
  </si>
  <si>
    <t>Содержание лифтов</t>
  </si>
  <si>
    <t>3.</t>
  </si>
  <si>
    <t>Сбор, вывоз ТБО (ЖБО)</t>
  </si>
  <si>
    <t>4.</t>
  </si>
  <si>
    <t>Содержание мусоропроводов</t>
  </si>
  <si>
    <t>5.</t>
  </si>
  <si>
    <t>Текущий ремонт общего имущества</t>
  </si>
  <si>
    <t xml:space="preserve">6. </t>
  </si>
  <si>
    <t>Капитальный ремонт общего имущества</t>
  </si>
  <si>
    <t>7.</t>
  </si>
  <si>
    <t>Коммунальные услуги, в том числе:</t>
  </si>
  <si>
    <t>7.1.</t>
  </si>
  <si>
    <t>Холодное водоснабжение</t>
  </si>
  <si>
    <t>7.2.</t>
  </si>
  <si>
    <t>Горячее водоснабжение</t>
  </si>
  <si>
    <t>7.4.</t>
  </si>
  <si>
    <t>7.3.</t>
  </si>
  <si>
    <t>Центральное отопление</t>
  </si>
  <si>
    <t>3. Отчет о фактически выполненных работах по ремонту общего имущества в многоквартирном доме на основании принятого решения собственниками помещений</t>
  </si>
  <si>
    <t>Виды услуг (работ)</t>
  </si>
  <si>
    <t>Затраты за отчетный период, руб.</t>
  </si>
  <si>
    <t xml:space="preserve">1. </t>
  </si>
  <si>
    <t>Текущий ремонт</t>
  </si>
  <si>
    <t>__________________</t>
  </si>
  <si>
    <t>В целях контроля отчет предоставлен: __________________________________________</t>
  </si>
  <si>
    <t>(Ф.И.О. уполномоченного лица, определенного решением общего собрания)</t>
  </si>
  <si>
    <t>ООО "Техно-Р"</t>
  </si>
  <si>
    <t xml:space="preserve">      ул. Телевизионная д. 2 а    </t>
  </si>
  <si>
    <t xml:space="preserve">           2419,10 кв.м          </t>
  </si>
  <si>
    <t>Директор ООО "Техно-Р"</t>
  </si>
  <si>
    <t xml:space="preserve">      ул. Пионерская д. 16    </t>
  </si>
  <si>
    <t xml:space="preserve">      ул. Багговута д. 12    </t>
  </si>
  <si>
    <t xml:space="preserve">      ул. Пионерская д. 15    </t>
  </si>
  <si>
    <t xml:space="preserve">      ул. Социалистическая  д. 4    </t>
  </si>
  <si>
    <t xml:space="preserve">      ул. Социалистическая  д. 6    </t>
  </si>
  <si>
    <t xml:space="preserve">      ул. Социалистическая  д. 6 корп. 1    </t>
  </si>
  <si>
    <t xml:space="preserve">          1005,30 кв.м          </t>
  </si>
  <si>
    <t xml:space="preserve">      ул. Социалистическая д. 9    </t>
  </si>
  <si>
    <t xml:space="preserve">      ул. Социалистическая  д. 12    </t>
  </si>
  <si>
    <t xml:space="preserve">      ул. Телевизионная д. 2     </t>
  </si>
  <si>
    <t xml:space="preserve">      ул. Телевизионная д. 4    </t>
  </si>
  <si>
    <t xml:space="preserve">      ул. Чичерина  д. 7 а    </t>
  </si>
  <si>
    <t xml:space="preserve">      ул. Чичерина д. 8    </t>
  </si>
  <si>
    <t xml:space="preserve">      пер. Чичерина  д. 24    </t>
  </si>
  <si>
    <t xml:space="preserve">      пер. Чичерина д. 28    </t>
  </si>
  <si>
    <t xml:space="preserve">      ул. Калинина д. 12   </t>
  </si>
  <si>
    <t xml:space="preserve">      ул. Калинина д. 18   </t>
  </si>
  <si>
    <t xml:space="preserve">      ул. Калинина д. 23   </t>
  </si>
  <si>
    <t xml:space="preserve">      ул. Пионерская д. 9    </t>
  </si>
  <si>
    <t xml:space="preserve">      ул. Высокая  д. 4    </t>
  </si>
  <si>
    <t xml:space="preserve">      ул. Пухова д. 15    </t>
  </si>
  <si>
    <t xml:space="preserve">           371,80 кв.м          </t>
  </si>
  <si>
    <t xml:space="preserve">      ул. Пухова  д. 17       </t>
  </si>
  <si>
    <t xml:space="preserve">      ул. Калинина  д. 4    </t>
  </si>
  <si>
    <t xml:space="preserve">      ул. Пионерская  д. 18    </t>
  </si>
  <si>
    <t xml:space="preserve">           2821,10 кв.м          </t>
  </si>
  <si>
    <t xml:space="preserve">           900,40 кв.м          </t>
  </si>
  <si>
    <t xml:space="preserve">      ул. Пионерская д. 2    </t>
  </si>
  <si>
    <t xml:space="preserve">      ул. Чичерина д. 16    </t>
  </si>
  <si>
    <t xml:space="preserve">      ул. Чичерина  д. 22     </t>
  </si>
  <si>
    <t>Начислено в 2011 г., руб.</t>
  </si>
  <si>
    <t>Поступило средств за 2011 г., руб.</t>
  </si>
  <si>
    <t>Выполнены работы за 2011 г., руб.</t>
  </si>
  <si>
    <t>Остаток средств на 01.01.2012 г., руб.</t>
  </si>
  <si>
    <t>А.Е. Артамонов</t>
  </si>
  <si>
    <t>Тариф, руб. на ед. изм.</t>
  </si>
  <si>
    <t>Капитальный ремонт</t>
  </si>
  <si>
    <t>Электроэнерния МОП</t>
  </si>
  <si>
    <t>Итого за жилищные и коммунальные услуги:</t>
  </si>
  <si>
    <t>перед собственниками помещений о выполнении договора управления многоквартирным домом за 2012 год</t>
  </si>
  <si>
    <t>"      "                              2013 год</t>
  </si>
  <si>
    <t>Смена труб ГВС и запорной арматуры стояка в подвале</t>
  </si>
  <si>
    <t>Смена полотенцесушителя (кв. 45)</t>
  </si>
  <si>
    <t>Смена трубопровода</t>
  </si>
  <si>
    <t>Замена задвижки ц/о</t>
  </si>
  <si>
    <t>Задолжен-ность населения за 2011 г.</t>
  </si>
  <si>
    <t>ИТОГО за жилищныеуслуги:</t>
  </si>
  <si>
    <t>1.6.</t>
  </si>
  <si>
    <t>1.7.</t>
  </si>
  <si>
    <t xml:space="preserve">      ул. Ленина д. 68/8    </t>
  </si>
  <si>
    <t xml:space="preserve">      ул. Ленина д. 67    </t>
  </si>
  <si>
    <t xml:space="preserve">      ул. Огарева д. 20    </t>
  </si>
  <si>
    <t xml:space="preserve">      ул. Пролетарская  д. 40    </t>
  </si>
  <si>
    <t xml:space="preserve">      ул. Чижевского д. 4    </t>
  </si>
  <si>
    <t xml:space="preserve">          1428,00 кв.м          </t>
  </si>
  <si>
    <t>Содержание и ремонт общего имущества</t>
  </si>
  <si>
    <t>Начислено в 2012 г., руб.</t>
  </si>
  <si>
    <t>Поступило средств за 2012 г., руб.</t>
  </si>
  <si>
    <t>Выполнены работы за 2012 г., руб.</t>
  </si>
  <si>
    <t>Задолжен-ность населения за 2012 г.</t>
  </si>
  <si>
    <t>Ремонт общего имущества</t>
  </si>
  <si>
    <t>1.8.</t>
  </si>
  <si>
    <t>1.9.</t>
  </si>
  <si>
    <t>1.10.</t>
  </si>
  <si>
    <t xml:space="preserve">   ул. Пионерская  д. 13/18  </t>
  </si>
  <si>
    <t xml:space="preserve">ул. Социалистическая  д. 3 </t>
  </si>
  <si>
    <t xml:space="preserve">  ул. Чичерина д. 12 корп. 1    </t>
  </si>
  <si>
    <t>ул. Телевизионная д. 6 корп. 1</t>
  </si>
  <si>
    <t>ул. Телевизионная д. 2 корп. 1</t>
  </si>
  <si>
    <t>ул. Чичерина д. 16 корп. 1</t>
  </si>
  <si>
    <t xml:space="preserve">      ул. Билибина д. 10     </t>
  </si>
  <si>
    <t xml:space="preserve">      ул. Билибина д. 26    </t>
  </si>
  <si>
    <t xml:space="preserve">      ул. Билибина д. 28   </t>
  </si>
  <si>
    <t xml:space="preserve">      ул. Ленина д. 61/5      </t>
  </si>
  <si>
    <t xml:space="preserve">      ул. Пролетарская д. 135</t>
  </si>
  <si>
    <t xml:space="preserve">           1934,20 кв.м          </t>
  </si>
  <si>
    <t xml:space="preserve">           2419.10 кв.м          </t>
  </si>
  <si>
    <t xml:space="preserve">      ул. Молодежная д. 41</t>
  </si>
  <si>
    <t xml:space="preserve">      ул. Солнечный бульвар д. 2</t>
  </si>
  <si>
    <t xml:space="preserve">      ул. Солнечный бульвар д. 4</t>
  </si>
  <si>
    <t>Дополнительные услуги</t>
  </si>
  <si>
    <t>Холодное водоснабжение и водоотведение</t>
  </si>
  <si>
    <t>Горячее водоснабжение и водоотведение</t>
  </si>
  <si>
    <t>1.11.</t>
  </si>
  <si>
    <t xml:space="preserve">      ул. Аллейная, д.2</t>
  </si>
  <si>
    <t>1.12.</t>
  </si>
  <si>
    <t>1.13.</t>
  </si>
  <si>
    <t>Уборка мест общего пользования</t>
  </si>
  <si>
    <t>Справочно:</t>
  </si>
  <si>
    <t>Нежилые помещения</t>
  </si>
  <si>
    <t>площадь</t>
  </si>
  <si>
    <t>тариф</t>
  </si>
  <si>
    <t>начислено</t>
  </si>
  <si>
    <t>оплачено</t>
  </si>
  <si>
    <t>долг</t>
  </si>
  <si>
    <t xml:space="preserve">      ул. Телевизионная д. 10     </t>
  </si>
  <si>
    <t xml:space="preserve">      ул.Дубрава д. 3    </t>
  </si>
  <si>
    <t xml:space="preserve">           722,35 кв.м          </t>
  </si>
  <si>
    <t xml:space="preserve">      ул.Дубрава д.10</t>
  </si>
  <si>
    <t xml:space="preserve">      ул.Нефтебаза д.3</t>
  </si>
  <si>
    <t xml:space="preserve">      ул.Нефтебаза д.5</t>
  </si>
  <si>
    <t xml:space="preserve">      ул.Аэропортовская д.14</t>
  </si>
  <si>
    <t xml:space="preserve">      ул.Дорожная д.11 корп.1</t>
  </si>
  <si>
    <t xml:space="preserve">      ул.Дорожная д.11 корп.2</t>
  </si>
  <si>
    <t xml:space="preserve">          2880,2 кв.м          </t>
  </si>
  <si>
    <t>Обслуживание КПУ</t>
  </si>
  <si>
    <t>Кол-во</t>
  </si>
  <si>
    <t>Ед. изм.</t>
  </si>
  <si>
    <t>шт</t>
  </si>
  <si>
    <t>Содержание ОИ -эл/эн</t>
  </si>
  <si>
    <t>м3</t>
  </si>
  <si>
    <t>м2</t>
  </si>
  <si>
    <t>Ремонт кровли</t>
  </si>
  <si>
    <t xml:space="preserve">Лифт </t>
  </si>
  <si>
    <t>Мусоропровод</t>
  </si>
  <si>
    <t>Электроэнергия ипу, в т.ч. содерж. ОИ эл/эн</t>
  </si>
  <si>
    <t xml:space="preserve">      ул.Дубрава д.1</t>
  </si>
  <si>
    <t xml:space="preserve">      ул.Дубрава д.2</t>
  </si>
  <si>
    <t xml:space="preserve">      ул.Дубрава д. 4    </t>
  </si>
  <si>
    <t xml:space="preserve">      ул.Дубрава д. 5    </t>
  </si>
  <si>
    <t xml:space="preserve">      ул.Дубрава д. 6   </t>
  </si>
  <si>
    <t xml:space="preserve">      ул.Дубрава д. 9    </t>
  </si>
  <si>
    <t xml:space="preserve">      ул.Дубрава д. 11    </t>
  </si>
  <si>
    <t>3. Отчет о фактически выполненных работах по ремонту общего имущества в многоквартирном доме на основании принятого решения 
собственниками помещений</t>
  </si>
  <si>
    <t>Уборка МОП</t>
  </si>
  <si>
    <t xml:space="preserve">      ул.Аэропортовская д.9</t>
  </si>
  <si>
    <t xml:space="preserve">      ул.Грабцевское шоссе д.160</t>
  </si>
  <si>
    <t xml:space="preserve">      ул.Хрустальная д.74</t>
  </si>
  <si>
    <t xml:space="preserve">      ул.Молодежная д.46</t>
  </si>
  <si>
    <t>Обслуживание ИТП</t>
  </si>
  <si>
    <t xml:space="preserve">      ул.Грабцевское шоссе д.132 корп.1</t>
  </si>
  <si>
    <t>Налог 1%</t>
  </si>
  <si>
    <t>Налог 1% от суммы оплаты</t>
  </si>
  <si>
    <t>Задолженность населения за 2019г.</t>
  </si>
  <si>
    <t>гор вода=28.25+(2104,62*0,0674)</t>
  </si>
  <si>
    <t>6.</t>
  </si>
  <si>
    <t>8.</t>
  </si>
  <si>
    <t>Доп. услуги</t>
  </si>
  <si>
    <t>8.1.</t>
  </si>
  <si>
    <t>8.2.</t>
  </si>
  <si>
    <t>8.3.</t>
  </si>
  <si>
    <t>8.4.</t>
  </si>
  <si>
    <t xml:space="preserve">      ул.Нефтебаза д.1</t>
  </si>
  <si>
    <t xml:space="preserve">      ул.Нефтебаза д.2</t>
  </si>
  <si>
    <t xml:space="preserve">      ул.Хрустальная д.66</t>
  </si>
  <si>
    <t xml:space="preserve">      ул.Хрустальная д.56</t>
  </si>
  <si>
    <t xml:space="preserve">      ул.Хрустальная д.70</t>
  </si>
  <si>
    <t xml:space="preserve">      ул.Дубрава д. 7  </t>
  </si>
  <si>
    <t xml:space="preserve">      ул.Хрустальная д.52</t>
  </si>
  <si>
    <t xml:space="preserve">      ул.Хрустальная д.62</t>
  </si>
  <si>
    <t xml:space="preserve">      ул.Гагарина д.9</t>
  </si>
  <si>
    <t xml:space="preserve">      ул.Добровольского д.14</t>
  </si>
  <si>
    <t xml:space="preserve">      ул.Чижевского д.12</t>
  </si>
  <si>
    <t>Вывоз тбо</t>
  </si>
  <si>
    <t xml:space="preserve">      ул.Болотникова д.16</t>
  </si>
  <si>
    <t xml:space="preserve">      ул.Нефтебаза д.4</t>
  </si>
  <si>
    <t xml:space="preserve">      ул.Молодежная д.48</t>
  </si>
  <si>
    <t xml:space="preserve">      ул.Чижевского д.23</t>
  </si>
  <si>
    <t xml:space="preserve">      ул.Плеханова д.2 корп.2</t>
  </si>
  <si>
    <t xml:space="preserve">      ул.Калинина д.15</t>
  </si>
  <si>
    <t>100м</t>
  </si>
  <si>
    <t>100шт</t>
  </si>
  <si>
    <t xml:space="preserve">      ул.Моторная д.30 А</t>
  </si>
  <si>
    <t>Уборка моп</t>
  </si>
  <si>
    <t>Дополнительные услуги (уборка моп)</t>
  </si>
  <si>
    <t>товарная накладная</t>
  </si>
  <si>
    <t>накопления по октябрь 2020</t>
  </si>
  <si>
    <t xml:space="preserve">          2129,0 кв.м          </t>
  </si>
  <si>
    <t xml:space="preserve">           3045,6 кв.м          </t>
  </si>
  <si>
    <t xml:space="preserve">          1389,5 кв.м          </t>
  </si>
  <si>
    <t>Дополнительные услуги (уборка МОП)</t>
  </si>
  <si>
    <t>100м2</t>
  </si>
  <si>
    <t xml:space="preserve">      ул. Чичерина д. 19</t>
  </si>
  <si>
    <t xml:space="preserve">          2013,2 кв.м          </t>
  </si>
  <si>
    <t xml:space="preserve">           2979,7 кв.м          </t>
  </si>
  <si>
    <t xml:space="preserve">      ул. Тельмана  д. 10    </t>
  </si>
  <si>
    <t>без нежилого</t>
  </si>
  <si>
    <t>130руб/               лиц.счет</t>
  </si>
  <si>
    <t xml:space="preserve">      ул. Московская д. 167  </t>
  </si>
  <si>
    <t xml:space="preserve">          3424,3 кв.м          </t>
  </si>
  <si>
    <t xml:space="preserve">7. </t>
  </si>
  <si>
    <t>Электроэнергия на содержание ОИ -ЭЭ</t>
  </si>
  <si>
    <t>расчетный тариф</t>
  </si>
  <si>
    <t xml:space="preserve">Расходы по обслуживанию крышной котельной </t>
  </si>
  <si>
    <t>Электроэнергия, содержание ОИ -эл/эн</t>
  </si>
  <si>
    <t>Замена светильников</t>
  </si>
  <si>
    <t xml:space="preserve">      ул.А.Королева д.29</t>
  </si>
  <si>
    <t xml:space="preserve">      ул.Суворова д.153 корп.5</t>
  </si>
  <si>
    <t xml:space="preserve">      ул.65 лет Победы д.29</t>
  </si>
  <si>
    <t>Электроэнергия, электроэнергия на СОИ</t>
  </si>
  <si>
    <t>Допуслуги</t>
  </si>
  <si>
    <t>Доп.услуги (обслуживание крышной котельной)</t>
  </si>
  <si>
    <t xml:space="preserve">      ул.Солнечный бульвар, д. 20</t>
  </si>
  <si>
    <t xml:space="preserve">         8435.90 кв.м          </t>
  </si>
  <si>
    <t xml:space="preserve">          2672,9 кв.м          </t>
  </si>
  <si>
    <t>с Октября</t>
  </si>
  <si>
    <t xml:space="preserve"> 619,81 кв.м          </t>
  </si>
  <si>
    <t xml:space="preserve">           734.50 кв.м          </t>
  </si>
  <si>
    <t>Доп.услуги</t>
  </si>
  <si>
    <t>начислений нет</t>
  </si>
  <si>
    <t xml:space="preserve">Ремонт общего имущества </t>
  </si>
  <si>
    <t>1.14.</t>
  </si>
  <si>
    <t xml:space="preserve">3582,4 кв.м          </t>
  </si>
  <si>
    <t>неж</t>
  </si>
  <si>
    <t xml:space="preserve">           2559,1 кв.м          </t>
  </si>
  <si>
    <t>50 квартир</t>
  </si>
  <si>
    <t xml:space="preserve">           898,4 кв.м          </t>
  </si>
  <si>
    <t xml:space="preserve">3919,4 кв.м          </t>
  </si>
  <si>
    <t xml:space="preserve">           1278,2 кв.м          </t>
  </si>
  <si>
    <t xml:space="preserve">           1994,6 кв.м          </t>
  </si>
  <si>
    <t xml:space="preserve">          2552,4 кв.м          </t>
  </si>
  <si>
    <t>Допуслуги (уборка МОП)</t>
  </si>
  <si>
    <t xml:space="preserve">      ул.Кооперативная д.1/2</t>
  </si>
  <si>
    <t xml:space="preserve">7582,1 кв.м          </t>
  </si>
  <si>
    <t>Доп.услуги (уборка МОП)</t>
  </si>
  <si>
    <t>8.0.</t>
  </si>
  <si>
    <t xml:space="preserve">Размещение оборудования операторами связи </t>
  </si>
  <si>
    <t>учтена</t>
  </si>
  <si>
    <t>9.</t>
  </si>
  <si>
    <t>Размещение оборудования операторами связи</t>
  </si>
  <si>
    <t>Содержание и обслуживание крышной котельной</t>
  </si>
  <si>
    <t xml:space="preserve">      ул.Нефтебаза д.6</t>
  </si>
  <si>
    <t>Доп. Услуги (уборка моп на лицевой счет)</t>
  </si>
  <si>
    <t>2.1.</t>
  </si>
  <si>
    <t>2.2.</t>
  </si>
  <si>
    <t>1.15.</t>
  </si>
  <si>
    <t>2.0.</t>
  </si>
  <si>
    <t>договор с ООО "РТК-сервис"</t>
  </si>
  <si>
    <t>1.16.</t>
  </si>
  <si>
    <t>1.17.</t>
  </si>
  <si>
    <t>1.18.</t>
  </si>
  <si>
    <t>2.3.</t>
  </si>
  <si>
    <t>2.4.</t>
  </si>
  <si>
    <t>Обслуживание по договору</t>
  </si>
  <si>
    <t xml:space="preserve">2. </t>
  </si>
  <si>
    <t>Дополнительные услуги (уборка моп на лицевой счет)</t>
  </si>
  <si>
    <t>Плановый  ремонт общего имущества</t>
  </si>
  <si>
    <t>Плановый ремонт общего имущества</t>
  </si>
  <si>
    <t>Начисление и оплата за обслуживание КПУ включена в содержание общего имущества</t>
  </si>
  <si>
    <r>
      <t xml:space="preserve">          </t>
    </r>
    <r>
      <rPr>
        <u val="single"/>
        <sz val="11"/>
        <color indexed="10"/>
        <rFont val="Times New Roman"/>
        <family val="1"/>
      </rPr>
      <t xml:space="preserve"> 1622,80 кв.м       </t>
    </r>
    <r>
      <rPr>
        <u val="single"/>
        <sz val="11"/>
        <rFont val="Times New Roman"/>
        <family val="1"/>
      </rPr>
      <t xml:space="preserve">   </t>
    </r>
  </si>
  <si>
    <t>1902,11/12,54</t>
  </si>
  <si>
    <t>12,54/1902,11</t>
  </si>
  <si>
    <t xml:space="preserve">          3410,7 кв.м          </t>
  </si>
  <si>
    <t xml:space="preserve">           3121,8 кв.м          </t>
  </si>
  <si>
    <t xml:space="preserve">          3367,9 кв.м          </t>
  </si>
  <si>
    <t xml:space="preserve">           2863,9 кв.м          </t>
  </si>
  <si>
    <t xml:space="preserve">          3136,5 кв.м          </t>
  </si>
  <si>
    <t xml:space="preserve">        5660,5 кв.м          </t>
  </si>
  <si>
    <t xml:space="preserve"> 4381,1 кв.м          </t>
  </si>
  <si>
    <t xml:space="preserve">          3268,9 кв.м          </t>
  </si>
  <si>
    <t xml:space="preserve"> 1347,9 кв.м          </t>
  </si>
  <si>
    <t xml:space="preserve">          1990,85 кв.м          </t>
  </si>
  <si>
    <t xml:space="preserve">          2380,5 кв.м          </t>
  </si>
  <si>
    <t>Уборка МОП     (140 руб/лицевой счет)</t>
  </si>
  <si>
    <t xml:space="preserve">         899,5 кв.м          </t>
  </si>
  <si>
    <t xml:space="preserve">   4535,3 кв.м          </t>
  </si>
  <si>
    <t xml:space="preserve">       10251,3 кв.м          </t>
  </si>
  <si>
    <t>12,54/39,62</t>
  </si>
  <si>
    <t xml:space="preserve">       9162,0 кв.м          </t>
  </si>
  <si>
    <t xml:space="preserve">3309,60 кв.м          </t>
  </si>
  <si>
    <t>39,62/1902,11/12,54</t>
  </si>
  <si>
    <t xml:space="preserve">      ул.Грабцевское шоссе д.78</t>
  </si>
  <si>
    <t xml:space="preserve">      ул.Грабцевское шоссе д.77</t>
  </si>
  <si>
    <t xml:space="preserve">      ул.Парижской Коммуны д.1а</t>
  </si>
  <si>
    <t xml:space="preserve">Доп. Услуги </t>
  </si>
  <si>
    <t xml:space="preserve">          5353,8 кв.м          </t>
  </si>
  <si>
    <t>справочно:</t>
  </si>
  <si>
    <t xml:space="preserve">Размещение оборудования операторами связи      </t>
  </si>
  <si>
    <t>Материал для субботника</t>
  </si>
  <si>
    <t>Ремонт межпанельных швов</t>
  </si>
  <si>
    <t>Материалы для субботника</t>
  </si>
  <si>
    <t>с учетом оплаты и выполненных работ по допуслугам по монтажу узла учета  тепловой энергии за 2020 год</t>
  </si>
  <si>
    <t>Возмещение расходов по аренде  нежилого помещения в подвале дома</t>
  </si>
  <si>
    <t xml:space="preserve">договор </t>
  </si>
  <si>
    <t>Обслуживание и ремонт крышной газовой котельной</t>
  </si>
  <si>
    <t>Содержание и обслуживание  крышной котельной</t>
  </si>
  <si>
    <t>перед собственниками помещений о выполнении договора управления многоквартирным домом за 2022 год</t>
  </si>
  <si>
    <t>Долг населения на 31.01.2023 г.</t>
  </si>
  <si>
    <t xml:space="preserve">           4711,7 кв.м          </t>
  </si>
  <si>
    <t>Остаток средств на проведение капитального ремонта по состоянию на 31.01.2023 г.</t>
  </si>
  <si>
    <t>Остаток средств на проведение текущего ремонта по состоянию на 31.01.2023 г.</t>
  </si>
  <si>
    <t xml:space="preserve">           2811,50 кв.м          </t>
  </si>
  <si>
    <r>
      <t xml:space="preserve">          </t>
    </r>
    <r>
      <rPr>
        <u val="single"/>
        <sz val="11"/>
        <color indexed="10"/>
        <rFont val="Times New Roman"/>
        <family val="1"/>
      </rPr>
      <t xml:space="preserve"> 3554,0 кв.м    </t>
    </r>
    <r>
      <rPr>
        <u val="single"/>
        <sz val="11"/>
        <rFont val="Times New Roman"/>
        <family val="1"/>
      </rPr>
      <t xml:space="preserve">      </t>
    </r>
  </si>
  <si>
    <t xml:space="preserve">           3503,2 кв.м          </t>
  </si>
  <si>
    <t xml:space="preserve">Горячее водоснабжение </t>
  </si>
  <si>
    <t xml:space="preserve">Горячее водоснабжение  </t>
  </si>
  <si>
    <t>Доводчик дверной</t>
  </si>
  <si>
    <t>"      "                   2023 год</t>
  </si>
  <si>
    <t>Нежилые помещения, 2022 год</t>
  </si>
  <si>
    <t xml:space="preserve">           1283,3 кв.м          </t>
  </si>
  <si>
    <t xml:space="preserve">         1740,6 кв.м          </t>
  </si>
  <si>
    <t xml:space="preserve">Уборка МОП </t>
  </si>
  <si>
    <t xml:space="preserve">          4136,5 кв.м          </t>
  </si>
  <si>
    <t xml:space="preserve">           3397,3 кв.м          </t>
  </si>
  <si>
    <t xml:space="preserve">           1818,5 кв.м          </t>
  </si>
  <si>
    <t>Остаток средств на проведение текущего ремонта по состоянию на 31.01.22 г.</t>
  </si>
  <si>
    <t xml:space="preserve">           3346,8 кв.м          </t>
  </si>
  <si>
    <t>Начисление и оплата за уборку МОП  включена в содержание общего имущества</t>
  </si>
  <si>
    <t>5511,8 кв.м.</t>
  </si>
  <si>
    <t xml:space="preserve">           1597,7 кв.м          </t>
  </si>
  <si>
    <t xml:space="preserve">           2740,6 кв.м          </t>
  </si>
  <si>
    <t xml:space="preserve">           2675,1 кв.м          </t>
  </si>
  <si>
    <t xml:space="preserve">          2074,11 кв.м          </t>
  </si>
  <si>
    <t xml:space="preserve">         2406,9 кв.м          </t>
  </si>
  <si>
    <t xml:space="preserve">         3190,8 кв.м          </t>
  </si>
  <si>
    <t>4,20/6,0</t>
  </si>
  <si>
    <t xml:space="preserve">         9381,4 кв.м          </t>
  </si>
  <si>
    <t>ул. Солнечный бульвар д.4 корп.1</t>
  </si>
  <si>
    <t xml:space="preserve">        2510,46 кв.м          </t>
  </si>
  <si>
    <t xml:space="preserve"> ул. Солнечный бульвар д. 4корп.2</t>
  </si>
  <si>
    <t>тариф расчетный</t>
  </si>
  <si>
    <t>Остаток средств на проведение текущего ремонта (вместе с расходами по обслуживанию  крышной котельной) по состоянию на 31.01.2023 г.</t>
  </si>
  <si>
    <t xml:space="preserve">           2517 кв.м          </t>
  </si>
  <si>
    <t xml:space="preserve">           3707,1 кв.м          </t>
  </si>
  <si>
    <t xml:space="preserve">          1787,9 кв.м          </t>
  </si>
  <si>
    <t>Доп. Услуги (уборка МОП)</t>
  </si>
  <si>
    <t>Остаток средств на проведение текущего ремонта по состоянию на 31.01.2023г.</t>
  </si>
  <si>
    <t xml:space="preserve">    4425,28 кв.м          </t>
  </si>
  <si>
    <t xml:space="preserve">3080,9 кв.м          </t>
  </si>
  <si>
    <t xml:space="preserve">       15426,8 кв.м          </t>
  </si>
  <si>
    <t xml:space="preserve">       9130,2 кв.м          </t>
  </si>
  <si>
    <t>Остаток средств на содержание и обслуживание крышной котельной по  состоянию на 31.01.23 г.</t>
  </si>
  <si>
    <t xml:space="preserve">1739,7 кв.м          </t>
  </si>
  <si>
    <t xml:space="preserve">3115,9 кв.м          </t>
  </si>
  <si>
    <t>Доп (уборка МОП)</t>
  </si>
  <si>
    <t xml:space="preserve">22784,8 кв.м          </t>
  </si>
  <si>
    <t>Горячее водоснабжение (прямые расчеты)</t>
  </si>
  <si>
    <t xml:space="preserve">2022,31 кв.м          </t>
  </si>
  <si>
    <t xml:space="preserve">4611,8 кв.м          </t>
  </si>
  <si>
    <t xml:space="preserve">      ул.Октябрьская д.8</t>
  </si>
  <si>
    <t xml:space="preserve">3542,3 кв.м          </t>
  </si>
  <si>
    <t xml:space="preserve">      ул.А.Королева, д.27</t>
  </si>
  <si>
    <t xml:space="preserve">4789,6 кв.м          </t>
  </si>
  <si>
    <t>Размещение оборудования провайдерами</t>
  </si>
  <si>
    <t>9.0.</t>
  </si>
  <si>
    <t>час</t>
  </si>
  <si>
    <t>Вывоз веток</t>
  </si>
  <si>
    <t>Замена фрагмента трубы канализации</t>
  </si>
  <si>
    <t>Урна уличная</t>
  </si>
  <si>
    <t>Ремонт шиферной кровли</t>
  </si>
  <si>
    <t>Краска для субботника</t>
  </si>
  <si>
    <t>товарная накадная</t>
  </si>
  <si>
    <t>счет</t>
  </si>
  <si>
    <t>Установка уличного светильника</t>
  </si>
  <si>
    <t>Замена трубопровода ХВС по подвалу дома</t>
  </si>
  <si>
    <t>Промывка выпуска канализации</t>
  </si>
  <si>
    <t>чек</t>
  </si>
  <si>
    <t>Ремонт кровли (кв.33)</t>
  </si>
  <si>
    <t>Услуги вышки</t>
  </si>
  <si>
    <t>Соль таблетированная</t>
  </si>
  <si>
    <t>Промывка выпуска</t>
  </si>
  <si>
    <t>Замок навесной</t>
  </si>
  <si>
    <t>перед собственниками помещений о выполнении договора управления многоквартирным домом за 2023 год</t>
  </si>
  <si>
    <t>Начислено за 2023 г., руб.</t>
  </si>
  <si>
    <t>Поступило средств за 2023 г., руб.</t>
  </si>
  <si>
    <t>Выполнены работы за 2023 г., руб.</t>
  </si>
  <si>
    <t>Задолженность населения за 2023г.</t>
  </si>
  <si>
    <t>Долг населения на 31.01.2024 г.</t>
  </si>
  <si>
    <t>Остаток средств на проведение капитального ремонта по состоянию на 31.01.2024 г.</t>
  </si>
  <si>
    <t>Остаток средств на проведение текущего ремонта по состоянию на 31.01.2024 г.</t>
  </si>
  <si>
    <t>5.1.</t>
  </si>
  <si>
    <t>5.2.</t>
  </si>
  <si>
    <t>5.3.</t>
  </si>
  <si>
    <t>5.4.</t>
  </si>
  <si>
    <t>Долг населения на 31.01.2024г.</t>
  </si>
  <si>
    <t>Изменить задолженностть КР</t>
  </si>
  <si>
    <t>Остаток средств на проведение капитального ремонта по состоянию на 31.01.2023г.</t>
  </si>
  <si>
    <t xml:space="preserve">         2545,4 кв.м          </t>
  </si>
  <si>
    <t>Услуги по проведению периодической поверки узла учета тепловой энергии (проведено за счет средств провайдеров оплаченных в  20-21гг.)</t>
  </si>
  <si>
    <t>130 руб/лиц.счет</t>
  </si>
  <si>
    <t xml:space="preserve">           4573,09 кв.м          </t>
  </si>
  <si>
    <t>130/лицевой счет</t>
  </si>
  <si>
    <t>130/лиц.счет</t>
  </si>
  <si>
    <t>130руб/лиц.счет</t>
  </si>
  <si>
    <t>Остаток средств на проведение капитального ремонта по состоянию на 31.01.23 г.</t>
  </si>
  <si>
    <t>Остаток средств на проведение текущего ремонта по состоянию на 31.01.23 г.</t>
  </si>
  <si>
    <t>235 руб./            лиц.счет</t>
  </si>
  <si>
    <t xml:space="preserve">           5281,7 кв.м          </t>
  </si>
  <si>
    <t>Дополнительные услуги (уборка МОП )</t>
  </si>
  <si>
    <t xml:space="preserve">130 руб.       </t>
  </si>
  <si>
    <t xml:space="preserve">           5248,9 кв.м          </t>
  </si>
  <si>
    <t>130руб/лиц. счет</t>
  </si>
  <si>
    <t>Остаток средст на проведение текущего ремонта по состоянию на 31.01.2023 г.</t>
  </si>
  <si>
    <t xml:space="preserve">           4251,5 кв.м          </t>
  </si>
  <si>
    <t>Остаток средсты на проведение капитального ремонта по состоянию на 31.01.2024 г.</t>
  </si>
  <si>
    <t xml:space="preserve">          3847,4 кв.м          </t>
  </si>
  <si>
    <t xml:space="preserve">        4747,3   кв.м          </t>
  </si>
  <si>
    <t>130 руб./лиц.счет</t>
  </si>
  <si>
    <t>Остаток средств на проведение капитального ремонта по состоянию на 31.12.2023 г.</t>
  </si>
  <si>
    <t>Остаток средств на проведение текущего ремонта по состоянию на 31.12.2023 г.</t>
  </si>
  <si>
    <t xml:space="preserve">        4080,0 кв.м          </t>
  </si>
  <si>
    <t>Остаток средств на проведение текущего ремонта по состоянию на 31.01.2024 г. (с учетом нежилых помещений)</t>
  </si>
  <si>
    <t>0.501</t>
  </si>
  <si>
    <t>0.505</t>
  </si>
  <si>
    <t xml:space="preserve"> 16485,3   кв.м. </t>
  </si>
  <si>
    <t>Остаток средств на проведение текущего ремонта по состоянию на 31.01.2024г.</t>
  </si>
  <si>
    <t>Остаток средств на проведение текущего ремонта (вместе с расходами по обслуживанию  крышной котельной) по состоянию на 31.01.2024 г.</t>
  </si>
  <si>
    <t xml:space="preserve">           793,1 кв.м          </t>
  </si>
  <si>
    <t xml:space="preserve">           716,7,0 кв.м          </t>
  </si>
  <si>
    <t xml:space="preserve">           621,3 кв.м          </t>
  </si>
  <si>
    <t>Долг населения на 31.01.20243 г.</t>
  </si>
  <si>
    <t>Остаток средств на проведение текущего ремонта по состоянию на 01.01.2023 г.</t>
  </si>
  <si>
    <t xml:space="preserve">           1903,80 кв.м          </t>
  </si>
  <si>
    <t>статок средств на проведение текущего ремонта по состоянию на 31.01.2024 г.</t>
  </si>
  <si>
    <t xml:space="preserve">2607,3 кв.м          </t>
  </si>
  <si>
    <t>Остаток средств на проведение текущего ремонта по состоянию на 31.01.24 г.</t>
  </si>
  <si>
    <t>Допуслуги (Уборка МОП)</t>
  </si>
  <si>
    <t>6.1.</t>
  </si>
  <si>
    <t>6.2.</t>
  </si>
  <si>
    <t>6.3.</t>
  </si>
  <si>
    <t>6.4.</t>
  </si>
  <si>
    <t xml:space="preserve">Допуслуги </t>
  </si>
  <si>
    <t xml:space="preserve">   3362 кв.м          </t>
  </si>
  <si>
    <t xml:space="preserve">   3295,2 кв.м          </t>
  </si>
  <si>
    <t>Остаток средств на проведение планового ремонта по состоянию на 31.01.23 г.</t>
  </si>
  <si>
    <t xml:space="preserve">        5775,6 кв.м          </t>
  </si>
  <si>
    <t>Остаток средств накопления на плановый ремонт по состоянию на 31.01.2024 г.</t>
  </si>
  <si>
    <t>Остаток средств на проведение текущего ремонта по состоянию на 01.01.23 г.</t>
  </si>
  <si>
    <t>Остаток средств на содержание и обслуживание крышной котельной по  состоянию на 01.01.23 г.</t>
  </si>
  <si>
    <t>Остаток средств на содержание крышной котельной по  состоянию на 31.01.2024 г.</t>
  </si>
  <si>
    <t>Остаток средств на содержание и обслуживание крышной котельной по  состоянию на 31.01.2024 г.</t>
  </si>
  <si>
    <t xml:space="preserve">5554,6 кв.м          </t>
  </si>
  <si>
    <t xml:space="preserve">3529,3 кв.м          </t>
  </si>
  <si>
    <t>\</t>
  </si>
  <si>
    <t xml:space="preserve">2538,3 кв.м          </t>
  </si>
  <si>
    <t xml:space="preserve">3378,7 кв.м          </t>
  </si>
  <si>
    <t>кв1-3</t>
  </si>
  <si>
    <t>гараж</t>
  </si>
  <si>
    <t xml:space="preserve">1.5. </t>
  </si>
  <si>
    <t>Остаток средств планового ремонта по состоянию на 31.01.2024 г.</t>
  </si>
  <si>
    <t>без договора</t>
  </si>
  <si>
    <t>не идет площадь (+)1,26</t>
  </si>
  <si>
    <t>Остаток средств на проведение текущего ремонта по состоянию на 01.05.23 г.</t>
  </si>
  <si>
    <t>Остаток средств на проведение текущего ремонта по состоянию на 01.12.23 г.</t>
  </si>
  <si>
    <t xml:space="preserve">1635,7 кв.м          </t>
  </si>
  <si>
    <t xml:space="preserve">      ул.Нефтебаза д.7</t>
  </si>
  <si>
    <t xml:space="preserve">3190 кв.м          </t>
  </si>
  <si>
    <t xml:space="preserve">      ул.Пухова д.51</t>
  </si>
  <si>
    <t xml:space="preserve">      ул.М.Жукова,23а</t>
  </si>
  <si>
    <t xml:space="preserve">     18984,6 кв.м          </t>
  </si>
  <si>
    <t xml:space="preserve">5. </t>
  </si>
  <si>
    <t xml:space="preserve">Дополнительные услуги </t>
  </si>
  <si>
    <t xml:space="preserve"> Уборка мест общего пользования</t>
  </si>
  <si>
    <t>Остаток средств на проведение капитального ремонта по состоянию на 01.01.2023 г.</t>
  </si>
  <si>
    <t>не включена в общую площадь</t>
  </si>
  <si>
    <t>Ремонт общего имущества нежилые помещения за период 2023г.</t>
  </si>
  <si>
    <t>Нежилые помещения, 2023 год</t>
  </si>
  <si>
    <t>14 квартир</t>
  </si>
  <si>
    <t xml:space="preserve">          408,8 кв.м          </t>
  </si>
  <si>
    <t xml:space="preserve">         42,3 кв.м          </t>
  </si>
  <si>
    <t xml:space="preserve">           92,4 кв.м          </t>
  </si>
  <si>
    <t>в том числе площадь нежилых помещений</t>
  </si>
  <si>
    <t xml:space="preserve">          1412,2 кв.м          </t>
  </si>
  <si>
    <t xml:space="preserve">           129,5 кв.м          </t>
  </si>
  <si>
    <t xml:space="preserve">           131,2 кв.м          </t>
  </si>
  <si>
    <t>375,5 кв.м.</t>
  </si>
  <si>
    <t xml:space="preserve">          552,9 кв.м          </t>
  </si>
  <si>
    <t xml:space="preserve">          42,8 кв.м          </t>
  </si>
  <si>
    <t xml:space="preserve">          359,6 кв.м          </t>
  </si>
  <si>
    <t xml:space="preserve">         782,6 кв.м          </t>
  </si>
  <si>
    <t xml:space="preserve">           618,6 кв.м          </t>
  </si>
  <si>
    <t xml:space="preserve">          208,2 кв.м          </t>
  </si>
  <si>
    <t xml:space="preserve">         618,5 кв.м          </t>
  </si>
  <si>
    <t xml:space="preserve">          16,0 кв.м          </t>
  </si>
  <si>
    <t xml:space="preserve">        840,5   кв.м          </t>
  </si>
  <si>
    <t xml:space="preserve">         122,3 кв.м          </t>
  </si>
  <si>
    <t xml:space="preserve">        180,3 кв.м          </t>
  </si>
  <si>
    <t xml:space="preserve">        111,9 кв.м          </t>
  </si>
  <si>
    <t xml:space="preserve">        233,4 кв.м          </t>
  </si>
  <si>
    <t xml:space="preserve">        101 кв.м          </t>
  </si>
  <si>
    <t xml:space="preserve">500,4 кв.м          </t>
  </si>
  <si>
    <t xml:space="preserve">           343,7 кв.м          </t>
  </si>
  <si>
    <t xml:space="preserve">           78,7 кв.м          </t>
  </si>
  <si>
    <t xml:space="preserve">           106,3 кв.м          </t>
  </si>
  <si>
    <t xml:space="preserve">   183,9 кв.м          </t>
  </si>
  <si>
    <t xml:space="preserve">   104 кв.м          </t>
  </si>
  <si>
    <t xml:space="preserve">    222,8 кв.м          </t>
  </si>
  <si>
    <t xml:space="preserve">        1208  кв.м          </t>
  </si>
  <si>
    <t>Замена трубопровода канализации, кв.6,26,46</t>
  </si>
  <si>
    <t>Замена трубопровода ХВС в подвале дома</t>
  </si>
  <si>
    <t>Покраска 2-х входных дверей</t>
  </si>
  <si>
    <t>"      "                        2024 год</t>
  </si>
  <si>
    <t>Периодическая поверка узла учета тепловой энергии</t>
  </si>
  <si>
    <t>Ремонт платы</t>
  </si>
  <si>
    <t>Ремонт козырьков балкона , кв.50</t>
  </si>
  <si>
    <t>Ремонт порогов</t>
  </si>
  <si>
    <t>т</t>
  </si>
  <si>
    <t>Промывка  выпуска</t>
  </si>
  <si>
    <t>Замена светильника</t>
  </si>
  <si>
    <t>"      "                   2024 год</t>
  </si>
  <si>
    <t>Ремонт кровли, в.28,58</t>
  </si>
  <si>
    <t>Замена запорной арматуры ц/о в подвале дома</t>
  </si>
  <si>
    <t>Установка радиатора, кв.60</t>
  </si>
  <si>
    <t>Ремонт первой секции крыши, под.1,2</t>
  </si>
  <si>
    <t>Ремонт лоджии</t>
  </si>
  <si>
    <t>Уборка подвала от строительного мусора</t>
  </si>
  <si>
    <t>Замена светильника, п.2</t>
  </si>
  <si>
    <t>Задвижка воротная пружинная</t>
  </si>
  <si>
    <t>Опиловка деревьев</t>
  </si>
  <si>
    <t>Замена радиатора ц/о, кв.69</t>
  </si>
  <si>
    <t>Замена водопровода ХВС по подвалу дома</t>
  </si>
  <si>
    <t>остаток  на 31.01.24 за минусом налога с дохода в размере 15%</t>
  </si>
  <si>
    <t>Замена трубопровода ХВС и ГВС</t>
  </si>
  <si>
    <t>Замена водопровода ХВС и ГВС в поликлинике</t>
  </si>
  <si>
    <t>Замена трубопровода цо</t>
  </si>
  <si>
    <t>Изготовление и монтаж металлической двери на электрощитовую</t>
  </si>
  <si>
    <t>Дезинсекция, дезинфекция, дератизация</t>
  </si>
  <si>
    <t>Замена трубопровода</t>
  </si>
  <si>
    <t>Ремонт порога</t>
  </si>
  <si>
    <t>Ремонт отмостки</t>
  </si>
  <si>
    <t>Поверка узла учета тепловой энергии</t>
  </si>
  <si>
    <t>Ремонт ТМК-Н20</t>
  </si>
  <si>
    <t>Замена запорной арматуры цо в подвале дома</t>
  </si>
  <si>
    <t xml:space="preserve">           617,3 кв.м          </t>
  </si>
  <si>
    <t>Замена дотчика движения</t>
  </si>
  <si>
    <t>Замена трубопровода ХВС, кв.27,40,43,46,49</t>
  </si>
  <si>
    <t>Промывка канализационной системы</t>
  </si>
  <si>
    <t>Пеиодическая поверка узла учета тепловоц энергии</t>
  </si>
  <si>
    <t>Утепление наружных стен, кв.17</t>
  </si>
  <si>
    <t>Замена спусковых кранов цо, кв.18</t>
  </si>
  <si>
    <t>Замена водопровода канализации ГВС и ХВС, кв.1,7,13,19,25,31,37</t>
  </si>
  <si>
    <t>Замена трубопровода ГВС , кв.16</t>
  </si>
  <si>
    <t>Продухи</t>
  </si>
  <si>
    <t>Ремонт фасда на 5этаже</t>
  </si>
  <si>
    <t>Замок противопожарный, п.7</t>
  </si>
  <si>
    <t>Замена радиатора цо, кв.54</t>
  </si>
  <si>
    <t>Ремонт двери в подвале</t>
  </si>
  <si>
    <t>Замена трубопровода канализации, под.1</t>
  </si>
  <si>
    <t>Коврик грязесборный</t>
  </si>
  <si>
    <t>Замена канализационного стояка, кв.17-20</t>
  </si>
  <si>
    <t>Ремонт двух порогов</t>
  </si>
  <si>
    <t>Снос деревьев</t>
  </si>
  <si>
    <t>Замена трубопровода ХВС, кв.7</t>
  </si>
  <si>
    <t>Изготовление поддоновдля сбора осадков на техэтаже</t>
  </si>
  <si>
    <t>10т</t>
  </si>
  <si>
    <t>Замена трубопровода ХВС и ГВС, кв.14</t>
  </si>
  <si>
    <t>Замена запорной арматуры ц/о</t>
  </si>
  <si>
    <t>00шт</t>
  </si>
  <si>
    <t>Замна трубопровода канализации</t>
  </si>
  <si>
    <t>Замена участка  трубопровода цо, маг спецодежда</t>
  </si>
  <si>
    <t>Замена светиьников, п.2</t>
  </si>
  <si>
    <t>Продление лицензии "0"</t>
  </si>
  <si>
    <t>Ремонт автоматических ворот</t>
  </si>
  <si>
    <t>Ремонт концевых выключателей привода для откатных ворот</t>
  </si>
  <si>
    <t>Краска дляпокраски лестницы</t>
  </si>
  <si>
    <t>Замена уличных светильников</t>
  </si>
  <si>
    <t>Цемент, щебень</t>
  </si>
  <si>
    <t>Ремонт порога, цоколя</t>
  </si>
  <si>
    <t>Уборка подъезда</t>
  </si>
  <si>
    <t>Договор</t>
  </si>
  <si>
    <t>услуги по промывке системы канализации транспортным средством</t>
  </si>
  <si>
    <t>Улуги комбинированной машины</t>
  </si>
  <si>
    <t>Замена стояка канализации (3-4 этаж душевая)</t>
  </si>
  <si>
    <t>Покраска газопровода</t>
  </si>
  <si>
    <t>Изготовление и монтаж металлической двери, п.2</t>
  </si>
  <si>
    <t>Изготовление и монтаж металлической двери, п.1</t>
  </si>
  <si>
    <t>Замена трубопровода ц/о по подвалу дома</t>
  </si>
  <si>
    <t>Ящик почтовый, замок почтовый</t>
  </si>
  <si>
    <t>Утановка домофона, п.1</t>
  </si>
  <si>
    <t>Входная группа</t>
  </si>
  <si>
    <t>Замена фановой трубы канализации, кв.48</t>
  </si>
  <si>
    <t>Возмещение затрат ООО СПК " по электроэнергии</t>
  </si>
  <si>
    <t>Ремонт крыши над подъездом №2-3</t>
  </si>
  <si>
    <t>Замена КВШ и тяговых канатов на лифте, п.1</t>
  </si>
  <si>
    <t>в том чисое площадь нежилых помещений</t>
  </si>
  <si>
    <t xml:space="preserve">        1455,5 кв.м          </t>
  </si>
  <si>
    <t xml:space="preserve">        8702,4 кв.м          </t>
  </si>
  <si>
    <t>Эмаль ПФ-115</t>
  </si>
  <si>
    <t>Выведение отвода воды для полива, п.3</t>
  </si>
  <si>
    <t>Установка воздухоотводчика на радиаторе, п.3</t>
  </si>
  <si>
    <t>Периодическая поверка узла учетатепловой энергии</t>
  </si>
  <si>
    <t>Поставка комплектующих и ремонт провода ворот</t>
  </si>
  <si>
    <t>Устройство леерного ограждения</t>
  </si>
  <si>
    <t>Насос фикальный</t>
  </si>
  <si>
    <t>Замена автоматов в подъезде</t>
  </si>
  <si>
    <t>Замена радиатора, под.1, 6 этаж</t>
  </si>
  <si>
    <t>Замена уличного светильника</t>
  </si>
  <si>
    <t>Замена запорной арматуры на стояке ГВС</t>
  </si>
  <si>
    <t>Замена запорной арматуры на узле ГВС в подвале дома</t>
  </si>
  <si>
    <t>Замена уличного светильника, п.7</t>
  </si>
  <si>
    <t>Ремонт тормозного устройства лифтовой лебедки  на лифте, п.2</t>
  </si>
  <si>
    <t>Утепление вентиляционного канала</t>
  </si>
  <si>
    <t>Замок противопожарный, ручка</t>
  </si>
  <si>
    <t>Замена фрагмента трубы ГВС в подвале</t>
  </si>
  <si>
    <t>Ремонт створокдверей шахты лифта</t>
  </si>
  <si>
    <t>Периодическаяповерка узла учета тепловой энергии</t>
  </si>
  <si>
    <t>Замена радиатора</t>
  </si>
  <si>
    <t>Ремонт порога, п.3</t>
  </si>
  <si>
    <t>Замена запорной арматуры на узле ввода ц/о</t>
  </si>
  <si>
    <t>Работы по настройке станции  повышения давления с установкой манометра</t>
  </si>
  <si>
    <t>1/1</t>
  </si>
  <si>
    <t>Замок врезной</t>
  </si>
  <si>
    <t>Коврикгрязесборный</t>
  </si>
  <si>
    <t>Замена крана шарового</t>
  </si>
  <si>
    <t>Ремонт кровли над квартирой, кв.106</t>
  </si>
  <si>
    <t>Ремонт фасада у квартиры, кв.101</t>
  </si>
  <si>
    <t>Замнакрана на системе ц/о</t>
  </si>
  <si>
    <t>Таймер ТЭ-15</t>
  </si>
  <si>
    <t>Соль для котельной</t>
  </si>
  <si>
    <t>Замена радиатора,п.1</t>
  </si>
  <si>
    <t>Замена шарового крана на ц/о в подвале дома</t>
  </si>
  <si>
    <t>Замена фрагмента трубы ц/о</t>
  </si>
  <si>
    <t>Вывод воды для уборки подъездов</t>
  </si>
  <si>
    <t>Замена фракций ц/о с выводом в подвал, кв.22</t>
  </si>
  <si>
    <t>м</t>
  </si>
  <si>
    <t>Замена шарового крана в подвале дома</t>
  </si>
  <si>
    <t>Валка дерева</t>
  </si>
  <si>
    <t>Промывка канализации</t>
  </si>
  <si>
    <t>Замена трубы ХВС в подвале дома</t>
  </si>
  <si>
    <t>Замена фрагмента трубы ХВС в подвале дома</t>
  </si>
  <si>
    <t>Дезинсекция, дезинфекция, дератизация (подъезд)</t>
  </si>
  <si>
    <t>Промывка канализационного выпуска, п.1</t>
  </si>
  <si>
    <t>Замена запорной арматуры на системе ц/о</t>
  </si>
  <si>
    <t>Замена фрагмента трубы на ц/о</t>
  </si>
  <si>
    <t>Ремонт фасада с лесов</t>
  </si>
  <si>
    <t>Ремонт газоходов</t>
  </si>
  <si>
    <t>Материалы для ремонта фасада</t>
  </si>
  <si>
    <t>Установка заглушки</t>
  </si>
  <si>
    <t>Замена шарового крана на ц/о в подвае дома</t>
  </si>
  <si>
    <t>Замена коренного крана ХВС, кв.49</t>
  </si>
  <si>
    <t>Водосточная система</t>
  </si>
  <si>
    <t>Промывка выпуска, п.1</t>
  </si>
  <si>
    <t>Замена автоматов, кв.3,19,23,41</t>
  </si>
  <si>
    <t>Герметизация парапетов</t>
  </si>
  <si>
    <t>Замена трубопровода ХВС , кв.20-25</t>
  </si>
  <si>
    <t>Средства для уборки подъездов</t>
  </si>
  <si>
    <t>Ремонт 5-го этажа (побелка), п.2</t>
  </si>
  <si>
    <t>Ремонт панелей стен, лестничных маршей, окраска эл.щитка, п.2</t>
  </si>
  <si>
    <t>Замена фрагмента трубы ГВС</t>
  </si>
  <si>
    <t>Ремонт пристройки дома</t>
  </si>
  <si>
    <t>Установка козырька</t>
  </si>
  <si>
    <t>Выведение воды для уборки подъездов</t>
  </si>
  <si>
    <t>Ремонт цоколя</t>
  </si>
  <si>
    <t>Замена стояка ХВС и  ГВС  с 3-5 этажи, п.3</t>
  </si>
  <si>
    <t>Замена крана запорной арматурына ц/о</t>
  </si>
  <si>
    <t>Выведение воды ХВС и ГВС для уборки подъездов</t>
  </si>
  <si>
    <t>Выведениеводы для полива</t>
  </si>
  <si>
    <t>Термоманометр радиальный с контрольным указателем</t>
  </si>
  <si>
    <t>Замена запорной арматуры</t>
  </si>
  <si>
    <t>Ремонт кровли, кв.43,44</t>
  </si>
  <si>
    <t>Материал сантехнический</t>
  </si>
  <si>
    <t xml:space="preserve">       326,5 кв.м          </t>
  </si>
  <si>
    <t>Монтаж системы видионаблюдения</t>
  </si>
  <si>
    <t>Реагент для удаления известковых и коррозионных отложений</t>
  </si>
  <si>
    <t>Замена люка на дренажном колодце</t>
  </si>
  <si>
    <t>Замена воздухооотводчика на системе ц/о</t>
  </si>
  <si>
    <t>Замена шкифа ограничителя скорости  и каната ограничения скорости, п.6</t>
  </si>
  <si>
    <t>Замена  запорной арматуры настояке ГВС</t>
  </si>
  <si>
    <t>Сетка кладочная для ремонта порога</t>
  </si>
  <si>
    <t>Доска 25*150*6000 для ремонта порога</t>
  </si>
  <si>
    <t>Тротуарная плитка</t>
  </si>
  <si>
    <t>Ремонт редуктора лебедки главного привода</t>
  </si>
  <si>
    <t>Ремонт порога, п.1</t>
  </si>
  <si>
    <t>Замена кранов на стояке ГВС в подвале дома</t>
  </si>
  <si>
    <t xml:space="preserve">       45,7 кв.м          </t>
  </si>
  <si>
    <t>Разравнивание гравия</t>
  </si>
  <si>
    <t>Усуги по аренде спецтехникм ВС-18</t>
  </si>
  <si>
    <t>Грунт</t>
  </si>
  <si>
    <t>Благоустройство дворовой территории (краска)</t>
  </si>
  <si>
    <t>Оргстекло</t>
  </si>
  <si>
    <t>лист</t>
  </si>
  <si>
    <t>Поверка газовогосчетчика, ремонт с последующей поверкой электронного корректора, промывуа счетчика газа от загрязнений</t>
  </si>
  <si>
    <t>Снятие и установка узла учета газа</t>
  </si>
  <si>
    <t>Обслуживанин шкафовсистемы телеметрии</t>
  </si>
  <si>
    <t>Торцевое утепление</t>
  </si>
  <si>
    <t>Заслонка воздушная</t>
  </si>
  <si>
    <t>Электродвигатель</t>
  </si>
  <si>
    <t>Преобразователь частоты со съемным пультом</t>
  </si>
  <si>
    <t>Монтаж и настройка частотного преобразователя для насоса ХВС</t>
  </si>
  <si>
    <t>Плитка керамическая</t>
  </si>
  <si>
    <t>Гранит керамический</t>
  </si>
  <si>
    <t xml:space="preserve">150,2 кв.м          </t>
  </si>
  <si>
    <t>Монтаж, пусконаладочные работы двухсторонней переноворной диспетчерской связи на пассажирском лифте</t>
  </si>
  <si>
    <t>Ручки пластиковые, белые</t>
  </si>
  <si>
    <t>Единый налог в связи с примененем УСН за 2023 год</t>
  </si>
  <si>
    <t>Замена канализационной трбы</t>
  </si>
  <si>
    <t>Периодическая повепка узла учета тепловой энергии</t>
  </si>
  <si>
    <t>Комплект термопреобразователей</t>
  </si>
  <si>
    <t>Замена выпуска №3</t>
  </si>
  <si>
    <t>Дезинфекция подвала</t>
  </si>
  <si>
    <t xml:space="preserve">59,6 кв.м          </t>
  </si>
  <si>
    <t xml:space="preserve">468,3 кв.м          </t>
  </si>
  <si>
    <t>Ремонт порогов, п.1-8</t>
  </si>
  <si>
    <t>Валка деревьев</t>
  </si>
  <si>
    <t>Замена полотенцесушителя, кв.37</t>
  </si>
  <si>
    <t>1100шт</t>
  </si>
  <si>
    <t>Ремонт системы ГВС , подвал</t>
  </si>
  <si>
    <t>Замена трубы канализационной в квартире, кв.65</t>
  </si>
  <si>
    <t>Замена фрагмента трубы на ц/о в квартире</t>
  </si>
  <si>
    <t>Замена автомата, п.1</t>
  </si>
  <si>
    <t>Работа вышки</t>
  </si>
  <si>
    <t>Ремонт системы ц/о на чердаке</t>
  </si>
  <si>
    <t xml:space="preserve">6008,17 кв.м          </t>
  </si>
  <si>
    <t xml:space="preserve">351,6 кв.м          </t>
  </si>
  <si>
    <t>Замена трубопровода ХВС</t>
  </si>
  <si>
    <t>Змена запорной арматуры ГВС</t>
  </si>
  <si>
    <t>Замена стояка ГВС, ком. 918,818</t>
  </si>
  <si>
    <t>Ремонт козырька над входом</t>
  </si>
  <si>
    <t>Зпмена трубопровода ХВС и ГВС</t>
  </si>
  <si>
    <t>Поставка системы подпитки отопления для ИТП</t>
  </si>
  <si>
    <t>Устройство поливочного крана, п.4</t>
  </si>
  <si>
    <t>Герметизация межпанельных швов, кв.17,30,54,85,135,197,232,242,244,245,292</t>
  </si>
  <si>
    <t>п.м.</t>
  </si>
  <si>
    <t>Материалы для ремонта двери</t>
  </si>
  <si>
    <t>ИК излучитель на "Капель-2Л", ИК приемник на "Капель-2Л"</t>
  </si>
  <si>
    <t>Реагент для удаления известковых отложений</t>
  </si>
  <si>
    <t>Насос Фекальный</t>
  </si>
  <si>
    <t xml:space="preserve">314,1 кв.м          </t>
  </si>
  <si>
    <t xml:space="preserve">30,9 кв.м          </t>
  </si>
  <si>
    <t>Установка уличного светильника, п.2</t>
  </si>
  <si>
    <t xml:space="preserve">178,4 кв.м          </t>
  </si>
  <si>
    <t>Периодическая поверка узла учета тепловой энергии за 2022 год</t>
  </si>
  <si>
    <t>Услуги по замене водосчетчика за 2022 год</t>
  </si>
  <si>
    <t>Материал для покраски детской площадки</t>
  </si>
  <si>
    <t>Коврик ячеистый</t>
  </si>
  <si>
    <t>кв.1-3</t>
  </si>
  <si>
    <t>кв.4-27</t>
  </si>
  <si>
    <t xml:space="preserve">1104,2 кв.м          </t>
  </si>
  <si>
    <t>Замена домофонной двери</t>
  </si>
  <si>
    <t>Установка аудидомофона на подъездную дверь</t>
  </si>
  <si>
    <t xml:space="preserve">967,31 кв.м          </t>
  </si>
  <si>
    <t>Материалы для кровли</t>
  </si>
  <si>
    <t>Замена запорной арматуры на ГВС</t>
  </si>
  <si>
    <t xml:space="preserve">68,4 кв.м          </t>
  </si>
  <si>
    <t>Текущий ремонт подъезда</t>
  </si>
  <si>
    <t>Электромонтажные работы на лестничной клетке , п.1</t>
  </si>
  <si>
    <t>Выведение воды ХВС для уборки подъездов</t>
  </si>
  <si>
    <t>Ремонт кровли, кв.38</t>
  </si>
  <si>
    <t>Изготовление копии техпаспорта</t>
  </si>
  <si>
    <t>Ремонт водостока</t>
  </si>
  <si>
    <t>Ремонт фасадных плит, кв.14</t>
  </si>
  <si>
    <t xml:space="preserve">939,8 кв.м          </t>
  </si>
  <si>
    <t>Ремонт узлов ГВС и ц/о</t>
  </si>
  <si>
    <t>Замена стояка ц/о, кв.23</t>
  </si>
  <si>
    <t>Замена уличного светильника, п.2</t>
  </si>
  <si>
    <t>Снятие листов с крыши на вышке</t>
  </si>
  <si>
    <t xml:space="preserve">     1314,6 кв.м          </t>
  </si>
  <si>
    <t>12,54/39,62/1902,11</t>
  </si>
  <si>
    <t>Обслуживание пожарной сигнализации</t>
  </si>
  <si>
    <t>Остаток средств на проведение текущего ремонта по состоянию на 31.08.23 г.</t>
  </si>
  <si>
    <t>Ремонт кровли, кв.73,74,75</t>
  </si>
  <si>
    <t>Замена запорной арматуры на стояках ГВС</t>
  </si>
  <si>
    <t>130/квартира</t>
  </si>
  <si>
    <t>120/квартира</t>
  </si>
  <si>
    <t>150 руб./квартира</t>
  </si>
  <si>
    <t>110/квартира</t>
  </si>
  <si>
    <t>150/квартира</t>
  </si>
  <si>
    <t>100/квартира</t>
  </si>
  <si>
    <t>200/квартира</t>
  </si>
  <si>
    <t>125/квартира</t>
  </si>
  <si>
    <t>180/квартира</t>
  </si>
  <si>
    <t>170 /квартира</t>
  </si>
  <si>
    <t>Остаток средств на проведение текущего ремонта по состоянию на 30.06.23 г.</t>
  </si>
  <si>
    <t>хвс</t>
  </si>
  <si>
    <t>кнс</t>
  </si>
  <si>
    <t>окна</t>
  </si>
  <si>
    <t>добален 4582,06 с допуслуг</t>
  </si>
  <si>
    <t>добавлен 8979,09 доп услуга</t>
  </si>
  <si>
    <t>Услуги трактора</t>
  </si>
  <si>
    <t xml:space="preserve">Строительно-монтажные и пуско-наладочные работы по утановке узла учета тепловой энерги на системе отопления </t>
  </si>
  <si>
    <t>чс</t>
  </si>
  <si>
    <t>Улуги трактора</t>
  </si>
  <si>
    <t>Замена крана шарового в насосной станции</t>
  </si>
  <si>
    <t>Замена задвижки на вводе в дом ХВС</t>
  </si>
  <si>
    <t>Урна техэтажа</t>
  </si>
  <si>
    <t>Замена задвижки на ц/о</t>
  </si>
  <si>
    <t>1.19.</t>
  </si>
  <si>
    <t>Насос фекальный</t>
  </si>
  <si>
    <t>Замена элемента питания на тепловом счетчике</t>
  </si>
  <si>
    <t xml:space="preserve">Разработка исполнительной схемы узла учета тепловой энергии </t>
  </si>
  <si>
    <t>Услуги  трактора</t>
  </si>
  <si>
    <t>Бухгалтерские услуги</t>
  </si>
  <si>
    <t>Установка насса на стояк ГВС</t>
  </si>
  <si>
    <t>Замена балансировочных клапанов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</si>
</sst>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.000000"/>
    <numFmt numFmtId="166" formatCode="#,##0.000"/>
    <numFmt numFmtId="167" formatCode="#,##0.00000"/>
    <numFmt numFmtId="168" formatCode="#,##0.0000"/>
    <numFmt numFmtId="169" formatCode="0.000"/>
    <numFmt numFmtId="170" formatCode="#,##0.000_р_."/>
    <numFmt numFmtId="171" formatCode="0.0"/>
    <numFmt numFmtId="172" formatCode="#,##0.0000_р_."/>
    <numFmt numFmtId="173" formatCode="0.000000"/>
    <numFmt numFmtId="174" formatCode="0.00000"/>
    <numFmt numFmtId="175" formatCode="0.0000"/>
    <numFmt numFmtId="176" formatCode="0.0000000"/>
    <numFmt numFmtId="177" formatCode="0.00000000"/>
    <numFmt numFmtId="178" formatCode="[$-FC19]d\ mmmm\ yyyy\ &quot;г.&quot;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Calibri"/>
      <family val="2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u val="single"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1"/>
      <name val="Calibri"/>
      <family val="2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0"/>
      <color indexed="10"/>
      <name val="Calibri"/>
      <family val="2"/>
    </font>
    <font>
      <sz val="9"/>
      <name val="Calibri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u val="single"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0"/>
      <color rgb="FFFF000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66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vertical="top"/>
    </xf>
    <xf numFmtId="0" fontId="2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6" fillId="0" borderId="0" xfId="0" applyFont="1" applyAlignment="1">
      <alignment vertical="top"/>
    </xf>
    <xf numFmtId="164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/>
    </xf>
    <xf numFmtId="4" fontId="11" fillId="0" borderId="10" xfId="0" applyNumberFormat="1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164" fontId="11" fillId="0" borderId="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0" fontId="11" fillId="33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wrapText="1"/>
    </xf>
    <xf numFmtId="0" fontId="16" fillId="33" borderId="10" xfId="0" applyFont="1" applyFill="1" applyBorder="1" applyAlignment="1">
      <alignment horizontal="center" vertical="center"/>
    </xf>
    <xf numFmtId="164" fontId="11" fillId="33" borderId="10" xfId="0" applyNumberFormat="1" applyFont="1" applyFill="1" applyBorder="1" applyAlignment="1">
      <alignment horizontal="center" vertical="center"/>
    </xf>
    <xf numFmtId="4" fontId="16" fillId="33" borderId="10" xfId="0" applyNumberFormat="1" applyFont="1" applyFill="1" applyBorder="1" applyAlignment="1">
      <alignment wrapText="1"/>
    </xf>
    <xf numFmtId="0" fontId="13" fillId="33" borderId="0" xfId="0" applyFont="1" applyFill="1" applyAlignment="1">
      <alignment wrapText="1"/>
    </xf>
    <xf numFmtId="0" fontId="14" fillId="33" borderId="0" xfId="0" applyFont="1" applyFill="1" applyAlignment="1">
      <alignment/>
    </xf>
    <xf numFmtId="4" fontId="11" fillId="33" borderId="10" xfId="0" applyNumberFormat="1" applyFont="1" applyFill="1" applyBorder="1" applyAlignment="1">
      <alignment horizontal="left" wrapText="1"/>
    </xf>
    <xf numFmtId="164" fontId="77" fillId="34" borderId="11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left" wrapText="1"/>
    </xf>
    <xf numFmtId="4" fontId="16" fillId="0" borderId="10" xfId="0" applyNumberFormat="1" applyFont="1" applyFill="1" applyBorder="1" applyAlignment="1">
      <alignment wrapText="1"/>
    </xf>
    <xf numFmtId="164" fontId="11" fillId="33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1" fillId="35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164" fontId="11" fillId="34" borderId="1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 horizontal="left"/>
    </xf>
    <xf numFmtId="164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164" fontId="16" fillId="0" borderId="11" xfId="0" applyNumberFormat="1" applyFont="1" applyFill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wrapText="1"/>
    </xf>
    <xf numFmtId="4" fontId="11" fillId="0" borderId="0" xfId="0" applyNumberFormat="1" applyFont="1" applyAlignment="1">
      <alignment/>
    </xf>
    <xf numFmtId="0" fontId="16" fillId="0" borderId="0" xfId="0" applyFont="1" applyAlignment="1">
      <alignment/>
    </xf>
    <xf numFmtId="2" fontId="11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4" fontId="11" fillId="0" borderId="10" xfId="0" applyNumberFormat="1" applyFont="1" applyBorder="1" applyAlignment="1">
      <alignment wrapText="1"/>
    </xf>
    <xf numFmtId="4" fontId="13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 wrapText="1"/>
    </xf>
    <xf numFmtId="4" fontId="11" fillId="33" borderId="10" xfId="0" applyNumberFormat="1" applyFont="1" applyFill="1" applyBorder="1" applyAlignment="1">
      <alignment wrapText="1"/>
    </xf>
    <xf numFmtId="0" fontId="15" fillId="34" borderId="10" xfId="0" applyFont="1" applyFill="1" applyBorder="1" applyAlignment="1">
      <alignment wrapText="1"/>
    </xf>
    <xf numFmtId="4" fontId="15" fillId="34" borderId="10" xfId="0" applyNumberFormat="1" applyFont="1" applyFill="1" applyBorder="1" applyAlignment="1">
      <alignment wrapText="1"/>
    </xf>
    <xf numFmtId="0" fontId="16" fillId="34" borderId="0" xfId="0" applyFont="1" applyFill="1" applyAlignment="1">
      <alignment wrapText="1"/>
    </xf>
    <xf numFmtId="0" fontId="11" fillId="34" borderId="0" xfId="0" applyFont="1" applyFill="1" applyAlignment="1">
      <alignment wrapText="1"/>
    </xf>
    <xf numFmtId="4" fontId="15" fillId="0" borderId="10" xfId="0" applyNumberFormat="1" applyFont="1" applyFill="1" applyBorder="1" applyAlignment="1">
      <alignment wrapText="1"/>
    </xf>
    <xf numFmtId="4" fontId="1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4" fontId="11" fillId="0" borderId="0" xfId="0" applyNumberFormat="1" applyFont="1" applyFill="1" applyBorder="1" applyAlignment="1">
      <alignment horizontal="left" wrapText="1"/>
    </xf>
    <xf numFmtId="164" fontId="11" fillId="0" borderId="0" xfId="0" applyNumberFormat="1" applyFont="1" applyFill="1" applyBorder="1" applyAlignment="1">
      <alignment horizontal="center" wrapText="1"/>
    </xf>
    <xf numFmtId="4" fontId="16" fillId="34" borderId="10" xfId="0" applyNumberFormat="1" applyFont="1" applyFill="1" applyBorder="1" applyAlignment="1">
      <alignment horizontal="right" wrapText="1"/>
    </xf>
    <xf numFmtId="4" fontId="16" fillId="0" borderId="0" xfId="0" applyNumberFormat="1" applyFont="1" applyFill="1" applyAlignment="1">
      <alignment wrapText="1"/>
    </xf>
    <xf numFmtId="4" fontId="16" fillId="0" borderId="10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4" fontId="11" fillId="0" borderId="1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wrapText="1"/>
    </xf>
    <xf numFmtId="2" fontId="20" fillId="0" borderId="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4" fontId="15" fillId="0" borderId="0" xfId="0" applyNumberFormat="1" applyFont="1" applyFill="1" applyAlignment="1">
      <alignment/>
    </xf>
    <xf numFmtId="0" fontId="20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164" fontId="22" fillId="0" borderId="10" xfId="0" applyNumberFormat="1" applyFont="1" applyBorder="1" applyAlignment="1">
      <alignment horizontal="center" wrapText="1"/>
    </xf>
    <xf numFmtId="164" fontId="22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wrapText="1"/>
    </xf>
    <xf numFmtId="164" fontId="11" fillId="0" borderId="14" xfId="0" applyNumberFormat="1" applyFont="1" applyBorder="1" applyAlignment="1">
      <alignment horizontal="left" wrapText="1"/>
    </xf>
    <xf numFmtId="164" fontId="11" fillId="0" borderId="15" xfId="0" applyNumberFormat="1" applyFont="1" applyBorder="1" applyAlignment="1">
      <alignment horizontal="left" wrapText="1"/>
    </xf>
    <xf numFmtId="164" fontId="11" fillId="0" borderId="10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164" fontId="18" fillId="0" borderId="10" xfId="0" applyNumberFormat="1" applyFont="1" applyBorder="1" applyAlignment="1">
      <alignment horizontal="center"/>
    </xf>
    <xf numFmtId="170" fontId="11" fillId="0" borderId="10" xfId="0" applyNumberFormat="1" applyFont="1" applyBorder="1" applyAlignment="1">
      <alignment horizontal="center" wrapText="1"/>
    </xf>
    <xf numFmtId="164" fontId="11" fillId="0" borderId="15" xfId="0" applyNumberFormat="1" applyFont="1" applyFill="1" applyBorder="1" applyAlignment="1">
      <alignment horizontal="left" wrapText="1"/>
    </xf>
    <xf numFmtId="164" fontId="11" fillId="0" borderId="10" xfId="0" applyNumberFormat="1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23" fillId="0" borderId="0" xfId="0" applyFont="1" applyAlignment="1">
      <alignment/>
    </xf>
    <xf numFmtId="0" fontId="18" fillId="0" borderId="0" xfId="0" applyFont="1" applyFill="1" applyAlignment="1">
      <alignment vertical="top"/>
    </xf>
    <xf numFmtId="0" fontId="18" fillId="0" borderId="0" xfId="0" applyFont="1" applyAlignment="1">
      <alignment vertical="top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4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6" fillId="34" borderId="10" xfId="0" applyFont="1" applyFill="1" applyBorder="1" applyAlignment="1">
      <alignment wrapText="1"/>
    </xf>
    <xf numFmtId="4" fontId="16" fillId="34" borderId="10" xfId="0" applyNumberFormat="1" applyFont="1" applyFill="1" applyBorder="1" applyAlignment="1">
      <alignment horizontal="right" vertical="center" wrapText="1"/>
    </xf>
    <xf numFmtId="4" fontId="16" fillId="33" borderId="10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164" fontId="11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0" fontId="20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wrapText="1"/>
    </xf>
    <xf numFmtId="164" fontId="11" fillId="0" borderId="14" xfId="0" applyNumberFormat="1" applyFont="1" applyBorder="1" applyAlignment="1">
      <alignment wrapText="1"/>
    </xf>
    <xf numFmtId="164" fontId="11" fillId="0" borderId="16" xfId="0" applyNumberFormat="1" applyFont="1" applyBorder="1" applyAlignment="1">
      <alignment wrapText="1"/>
    </xf>
    <xf numFmtId="164" fontId="11" fillId="0" borderId="15" xfId="0" applyNumberFormat="1" applyFont="1" applyBorder="1" applyAlignment="1">
      <alignment wrapText="1"/>
    </xf>
    <xf numFmtId="164" fontId="11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3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wrapText="1"/>
    </xf>
    <xf numFmtId="4" fontId="23" fillId="0" borderId="0" xfId="0" applyNumberFormat="1" applyFont="1" applyAlignment="1">
      <alignment/>
    </xf>
    <xf numFmtId="4" fontId="11" fillId="0" borderId="11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left"/>
    </xf>
    <xf numFmtId="4" fontId="16" fillId="0" borderId="13" xfId="0" applyNumberFormat="1" applyFont="1" applyBorder="1" applyAlignment="1">
      <alignment horizontal="left"/>
    </xf>
    <xf numFmtId="4" fontId="11" fillId="0" borderId="13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 wrapText="1"/>
    </xf>
    <xf numFmtId="4" fontId="11" fillId="0" borderId="0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8" fontId="11" fillId="0" borderId="10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vertical="top"/>
    </xf>
    <xf numFmtId="0" fontId="15" fillId="0" borderId="14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164" fontId="11" fillId="0" borderId="10" xfId="0" applyNumberFormat="1" applyFont="1" applyBorder="1" applyAlignment="1">
      <alignment horizontal="right" wrapText="1"/>
    </xf>
    <xf numFmtId="164" fontId="11" fillId="0" borderId="0" xfId="0" applyNumberFormat="1" applyFont="1" applyBorder="1" applyAlignment="1">
      <alignment horizontal="left" wrapText="1"/>
    </xf>
    <xf numFmtId="164" fontId="18" fillId="0" borderId="0" xfId="0" applyNumberFormat="1" applyFont="1" applyBorder="1" applyAlignment="1">
      <alignment horizontal="center"/>
    </xf>
    <xf numFmtId="4" fontId="15" fillId="0" borderId="0" xfId="0" applyNumberFormat="1" applyFont="1" applyAlignment="1">
      <alignment wrapText="1"/>
    </xf>
    <xf numFmtId="164" fontId="11" fillId="0" borderId="14" xfId="0" applyNumberFormat="1" applyFont="1" applyFill="1" applyBorder="1" applyAlignment="1">
      <alignment wrapText="1"/>
    </xf>
    <xf numFmtId="164" fontId="11" fillId="0" borderId="16" xfId="0" applyNumberFormat="1" applyFont="1" applyFill="1" applyBorder="1" applyAlignment="1">
      <alignment wrapText="1"/>
    </xf>
    <xf numFmtId="170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 wrapText="1"/>
    </xf>
    <xf numFmtId="16" fontId="16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4" fontId="15" fillId="33" borderId="10" xfId="0" applyNumberFormat="1" applyFont="1" applyFill="1" applyBorder="1" applyAlignment="1">
      <alignment wrapText="1"/>
    </xf>
    <xf numFmtId="172" fontId="11" fillId="0" borderId="10" xfId="0" applyNumberFormat="1" applyFont="1" applyBorder="1" applyAlignment="1">
      <alignment horizontal="center" wrapText="1"/>
    </xf>
    <xf numFmtId="0" fontId="13" fillId="35" borderId="0" xfId="0" applyFont="1" applyFill="1" applyAlignment="1">
      <alignment/>
    </xf>
    <xf numFmtId="4" fontId="16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35" borderId="0" xfId="0" applyFont="1" applyFill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2" fontId="13" fillId="0" borderId="0" xfId="0" applyNumberFormat="1" applyFont="1" applyAlignment="1">
      <alignment/>
    </xf>
    <xf numFmtId="168" fontId="11" fillId="0" borderId="10" xfId="0" applyNumberFormat="1" applyFont="1" applyBorder="1" applyAlignment="1">
      <alignment horizontal="center" wrapText="1"/>
    </xf>
    <xf numFmtId="4" fontId="13" fillId="33" borderId="10" xfId="0" applyNumberFormat="1" applyFont="1" applyFill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164" fontId="11" fillId="0" borderId="0" xfId="0" applyNumberFormat="1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right" wrapText="1"/>
    </xf>
    <xf numFmtId="4" fontId="11" fillId="0" borderId="0" xfId="0" applyNumberFormat="1" applyFont="1" applyAlignment="1">
      <alignment wrapText="1"/>
    </xf>
    <xf numFmtId="164" fontId="11" fillId="34" borderId="0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 wrapText="1"/>
    </xf>
    <xf numFmtId="4" fontId="15" fillId="0" borderId="0" xfId="0" applyNumberFormat="1" applyFont="1" applyFill="1" applyBorder="1" applyAlignment="1">
      <alignment wrapText="1"/>
    </xf>
    <xf numFmtId="169" fontId="13" fillId="0" borderId="0" xfId="0" applyNumberFormat="1" applyFont="1" applyAlignment="1">
      <alignment wrapText="1"/>
    </xf>
    <xf numFmtId="0" fontId="16" fillId="0" borderId="10" xfId="0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/>
    </xf>
    <xf numFmtId="164" fontId="11" fillId="0" borderId="0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2" fontId="13" fillId="35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16" fillId="0" borderId="10" xfId="0" applyFont="1" applyFill="1" applyBorder="1" applyAlignment="1">
      <alignment horizontal="left" wrapText="1"/>
    </xf>
    <xf numFmtId="4" fontId="17" fillId="0" borderId="0" xfId="0" applyNumberFormat="1" applyFont="1" applyAlignment="1">
      <alignment horizontal="center"/>
    </xf>
    <xf numFmtId="4" fontId="46" fillId="0" borderId="0" xfId="0" applyNumberFormat="1" applyFont="1" applyAlignment="1">
      <alignment/>
    </xf>
    <xf numFmtId="0" fontId="13" fillId="0" borderId="1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4" fontId="13" fillId="0" borderId="10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0" fontId="16" fillId="0" borderId="18" xfId="0" applyFont="1" applyBorder="1" applyAlignment="1">
      <alignment horizontal="left"/>
    </xf>
    <xf numFmtId="4" fontId="15" fillId="0" borderId="1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" fontId="11" fillId="35" borderId="0" xfId="0" applyNumberFormat="1" applyFont="1" applyFill="1" applyAlignment="1">
      <alignment/>
    </xf>
    <xf numFmtId="0" fontId="16" fillId="0" borderId="16" xfId="0" applyFont="1" applyBorder="1" applyAlignment="1">
      <alignment vertical="center" wrapText="1"/>
    </xf>
    <xf numFmtId="0" fontId="21" fillId="0" borderId="15" xfId="0" applyFont="1" applyBorder="1" applyAlignment="1">
      <alignment/>
    </xf>
    <xf numFmtId="164" fontId="22" fillId="0" borderId="16" xfId="0" applyNumberFormat="1" applyFont="1" applyBorder="1" applyAlignment="1">
      <alignment wrapText="1"/>
    </xf>
    <xf numFmtId="0" fontId="14" fillId="0" borderId="15" xfId="0" applyFont="1" applyBorder="1" applyAlignment="1">
      <alignment/>
    </xf>
    <xf numFmtId="164" fontId="11" fillId="0" borderId="16" xfId="0" applyNumberFormat="1" applyFont="1" applyBorder="1" applyAlignment="1">
      <alignment/>
    </xf>
    <xf numFmtId="164" fontId="11" fillId="0" borderId="15" xfId="0" applyNumberFormat="1" applyFont="1" applyBorder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16" fontId="13" fillId="0" borderId="10" xfId="0" applyNumberFormat="1" applyFont="1" applyBorder="1" applyAlignment="1">
      <alignment wrapText="1"/>
    </xf>
    <xf numFmtId="0" fontId="16" fillId="33" borderId="0" xfId="0" applyFont="1" applyFill="1" applyBorder="1" applyAlignment="1">
      <alignment horizontal="left"/>
    </xf>
    <xf numFmtId="0" fontId="16" fillId="33" borderId="12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left"/>
    </xf>
    <xf numFmtId="164" fontId="11" fillId="33" borderId="13" xfId="0" applyNumberFormat="1" applyFont="1" applyFill="1" applyBorder="1" applyAlignment="1">
      <alignment/>
    </xf>
    <xf numFmtId="4" fontId="11" fillId="34" borderId="0" xfId="0" applyNumberFormat="1" applyFont="1" applyFill="1" applyAlignment="1">
      <alignment wrapText="1"/>
    </xf>
    <xf numFmtId="169" fontId="11" fillId="0" borderId="0" xfId="0" applyNumberFormat="1" applyFont="1" applyAlignment="1">
      <alignment/>
    </xf>
    <xf numFmtId="164" fontId="11" fillId="0" borderId="0" xfId="0" applyNumberFormat="1" applyFont="1" applyFill="1" applyBorder="1" applyAlignment="1">
      <alignment wrapText="1"/>
    </xf>
    <xf numFmtId="4" fontId="15" fillId="34" borderId="10" xfId="0" applyNumberFormat="1" applyFont="1" applyFill="1" applyBorder="1" applyAlignment="1">
      <alignment horizontal="right" wrapText="1"/>
    </xf>
    <xf numFmtId="0" fontId="11" fillId="0" borderId="11" xfId="0" applyFont="1" applyBorder="1" applyAlignment="1">
      <alignment/>
    </xf>
    <xf numFmtId="4" fontId="16" fillId="34" borderId="0" xfId="0" applyNumberFormat="1" applyFont="1" applyFill="1" applyAlignment="1">
      <alignment wrapText="1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wrapText="1"/>
    </xf>
    <xf numFmtId="4" fontId="13" fillId="33" borderId="10" xfId="0" applyNumberFormat="1" applyFont="1" applyFill="1" applyBorder="1" applyAlignment="1">
      <alignment/>
    </xf>
    <xf numFmtId="4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164" fontId="11" fillId="34" borderId="19" xfId="0" applyNumberFormat="1" applyFont="1" applyFill="1" applyBorder="1" applyAlignment="1">
      <alignment/>
    </xf>
    <xf numFmtId="0" fontId="11" fillId="33" borderId="0" xfId="0" applyFont="1" applyFill="1" applyAlignment="1">
      <alignment wrapText="1"/>
    </xf>
    <xf numFmtId="0" fontId="17" fillId="35" borderId="0" xfId="0" applyFont="1" applyFill="1" applyAlignment="1">
      <alignment/>
    </xf>
    <xf numFmtId="164" fontId="16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22" fillId="0" borderId="10" xfId="0" applyNumberFormat="1" applyFont="1" applyBorder="1" applyAlignment="1">
      <alignment horizontal="left" wrapText="1"/>
    </xf>
    <xf numFmtId="164" fontId="22" fillId="0" borderId="0" xfId="0" applyNumberFormat="1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left"/>
    </xf>
    <xf numFmtId="164" fontId="11" fillId="0" borderId="11" xfId="0" applyNumberFormat="1" applyFont="1" applyFill="1" applyBorder="1" applyAlignment="1">
      <alignment/>
    </xf>
    <xf numFmtId="0" fontId="22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left" wrapText="1"/>
    </xf>
    <xf numFmtId="0" fontId="11" fillId="0" borderId="10" xfId="0" applyFont="1" applyFill="1" applyBorder="1" applyAlignment="1">
      <alignment horizontal="center" vertical="center"/>
    </xf>
    <xf numFmtId="4" fontId="77" fillId="0" borderId="10" xfId="0" applyNumberFormat="1" applyFont="1" applyBorder="1" applyAlignment="1">
      <alignment horizontal="right" vertical="center" wrapText="1"/>
    </xf>
    <xf numFmtId="4" fontId="77" fillId="33" borderId="10" xfId="0" applyNumberFormat="1" applyFont="1" applyFill="1" applyBorder="1" applyAlignment="1">
      <alignment horizontal="right" vertical="center" wrapText="1"/>
    </xf>
    <xf numFmtId="4" fontId="78" fillId="0" borderId="10" xfId="0" applyNumberFormat="1" applyFont="1" applyBorder="1" applyAlignment="1">
      <alignment wrapText="1"/>
    </xf>
    <xf numFmtId="4" fontId="16" fillId="0" borderId="0" xfId="0" applyNumberFormat="1" applyFont="1" applyAlignment="1">
      <alignment wrapText="1"/>
    </xf>
    <xf numFmtId="4" fontId="78" fillId="34" borderId="10" xfId="0" applyNumberFormat="1" applyFont="1" applyFill="1" applyBorder="1" applyAlignment="1">
      <alignment wrapText="1"/>
    </xf>
    <xf numFmtId="4" fontId="78" fillId="0" borderId="0" xfId="0" applyNumberFormat="1" applyFont="1" applyBorder="1" applyAlignment="1">
      <alignment wrapText="1"/>
    </xf>
    <xf numFmtId="0" fontId="79" fillId="0" borderId="0" xfId="0" applyFont="1" applyAlignment="1">
      <alignment/>
    </xf>
    <xf numFmtId="16" fontId="16" fillId="0" borderId="15" xfId="0" applyNumberFormat="1" applyFont="1" applyBorder="1" applyAlignment="1">
      <alignment wrapText="1"/>
    </xf>
    <xf numFmtId="4" fontId="77" fillId="33" borderId="10" xfId="0" applyNumberFormat="1" applyFont="1" applyFill="1" applyBorder="1" applyAlignment="1">
      <alignment horizontal="right" wrapText="1"/>
    </xf>
    <xf numFmtId="0" fontId="80" fillId="0" borderId="10" xfId="0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35" borderId="0" xfId="0" applyFont="1" applyFill="1" applyAlignment="1">
      <alignment horizontal="center"/>
    </xf>
    <xf numFmtId="0" fontId="79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1" fillId="0" borderId="0" xfId="0" applyFont="1" applyAlignment="1">
      <alignment/>
    </xf>
    <xf numFmtId="0" fontId="77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16" fillId="35" borderId="0" xfId="0" applyFont="1" applyFill="1" applyAlignment="1">
      <alignment/>
    </xf>
    <xf numFmtId="164" fontId="16" fillId="34" borderId="11" xfId="0" applyNumberFormat="1" applyFont="1" applyFill="1" applyBorder="1" applyAlignment="1">
      <alignment/>
    </xf>
    <xf numFmtId="164" fontId="16" fillId="0" borderId="11" xfId="0" applyNumberFormat="1" applyFont="1" applyBorder="1" applyAlignment="1">
      <alignment/>
    </xf>
    <xf numFmtId="0" fontId="15" fillId="35" borderId="0" xfId="0" applyFont="1" applyFill="1" applyAlignment="1">
      <alignment/>
    </xf>
    <xf numFmtId="0" fontId="80" fillId="0" borderId="10" xfId="0" applyFont="1" applyBorder="1" applyAlignment="1">
      <alignment wrapText="1"/>
    </xf>
    <xf numFmtId="0" fontId="78" fillId="0" borderId="10" xfId="0" applyFont="1" applyBorder="1" applyAlignment="1">
      <alignment/>
    </xf>
    <xf numFmtId="4" fontId="82" fillId="0" borderId="10" xfId="0" applyNumberFormat="1" applyFont="1" applyBorder="1" applyAlignment="1">
      <alignment wrapText="1"/>
    </xf>
    <xf numFmtId="0" fontId="80" fillId="33" borderId="10" xfId="0" applyFont="1" applyFill="1" applyBorder="1" applyAlignment="1">
      <alignment horizontal="center" vertical="center"/>
    </xf>
    <xf numFmtId="164" fontId="77" fillId="33" borderId="10" xfId="0" applyNumberFormat="1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164" fontId="77" fillId="0" borderId="10" xfId="0" applyNumberFormat="1" applyFont="1" applyFill="1" applyBorder="1" applyAlignment="1">
      <alignment horizontal="center" vertical="center"/>
    </xf>
    <xf numFmtId="4" fontId="78" fillId="0" borderId="10" xfId="0" applyNumberFormat="1" applyFont="1" applyBorder="1" applyAlignment="1">
      <alignment/>
    </xf>
    <xf numFmtId="0" fontId="78" fillId="0" borderId="10" xfId="0" applyFont="1" applyFill="1" applyBorder="1" applyAlignment="1">
      <alignment/>
    </xf>
    <xf numFmtId="0" fontId="14" fillId="0" borderId="0" xfId="0" applyFont="1" applyBorder="1" applyAlignment="1">
      <alignment horizontal="center" wrapText="1"/>
    </xf>
    <xf numFmtId="0" fontId="83" fillId="0" borderId="0" xfId="0" applyFont="1" applyBorder="1" applyAlignment="1">
      <alignment horizontal="center" wrapText="1"/>
    </xf>
    <xf numFmtId="2" fontId="83" fillId="0" borderId="0" xfId="0" applyNumberFormat="1" applyFont="1" applyBorder="1" applyAlignment="1">
      <alignment wrapText="1"/>
    </xf>
    <xf numFmtId="0" fontId="26" fillId="35" borderId="0" xfId="0" applyFont="1" applyFill="1" applyAlignment="1">
      <alignment horizontal="center"/>
    </xf>
    <xf numFmtId="0" fontId="16" fillId="35" borderId="0" xfId="0" applyFont="1" applyFill="1" applyBorder="1" applyAlignment="1">
      <alignment horizontal="center"/>
    </xf>
    <xf numFmtId="164" fontId="77" fillId="33" borderId="0" xfId="0" applyNumberFormat="1" applyFont="1" applyFill="1" applyBorder="1" applyAlignment="1">
      <alignment horizontal="center" vertical="center"/>
    </xf>
    <xf numFmtId="164" fontId="77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wrapText="1"/>
    </xf>
    <xf numFmtId="0" fontId="16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/>
    </xf>
    <xf numFmtId="0" fontId="80" fillId="0" borderId="10" xfId="0" applyFont="1" applyFill="1" applyBorder="1" applyAlignment="1">
      <alignment wrapText="1"/>
    </xf>
    <xf numFmtId="2" fontId="80" fillId="0" borderId="10" xfId="0" applyNumberFormat="1" applyFont="1" applyBorder="1" applyAlignment="1">
      <alignment wrapText="1"/>
    </xf>
    <xf numFmtId="4" fontId="80" fillId="33" borderId="10" xfId="0" applyNumberFormat="1" applyFont="1" applyFill="1" applyBorder="1" applyAlignment="1">
      <alignment wrapText="1"/>
    </xf>
    <xf numFmtId="4" fontId="80" fillId="0" borderId="10" xfId="0" applyNumberFormat="1" applyFont="1" applyBorder="1" applyAlignment="1">
      <alignment wrapText="1"/>
    </xf>
    <xf numFmtId="4" fontId="80" fillId="0" borderId="10" xfId="0" applyNumberFormat="1" applyFont="1" applyFill="1" applyBorder="1" applyAlignment="1">
      <alignment wrapText="1"/>
    </xf>
    <xf numFmtId="0" fontId="84" fillId="0" borderId="10" xfId="0" applyFont="1" applyBorder="1" applyAlignment="1">
      <alignment horizontal="center" wrapText="1"/>
    </xf>
    <xf numFmtId="0" fontId="14" fillId="0" borderId="15" xfId="0" applyFont="1" applyBorder="1" applyAlignment="1">
      <alignment horizontal="left" wrapText="1"/>
    </xf>
    <xf numFmtId="0" fontId="78" fillId="0" borderId="0" xfId="0" applyFont="1" applyBorder="1" applyAlignment="1">
      <alignment/>
    </xf>
    <xf numFmtId="4" fontId="11" fillId="35" borderId="0" xfId="0" applyNumberFormat="1" applyFont="1" applyFill="1" applyAlignment="1">
      <alignment/>
    </xf>
    <xf numFmtId="0" fontId="78" fillId="0" borderId="10" xfId="0" applyFont="1" applyBorder="1" applyAlignment="1">
      <alignment wrapText="1"/>
    </xf>
    <xf numFmtId="164" fontId="77" fillId="0" borderId="10" xfId="0" applyNumberFormat="1" applyFont="1" applyBorder="1" applyAlignment="1">
      <alignment horizontal="center" wrapText="1"/>
    </xf>
    <xf numFmtId="164" fontId="77" fillId="0" borderId="10" xfId="0" applyNumberFormat="1" applyFont="1" applyFill="1" applyBorder="1" applyAlignment="1">
      <alignment horizontal="center" wrapText="1"/>
    </xf>
    <xf numFmtId="0" fontId="78" fillId="0" borderId="10" xfId="0" applyFont="1" applyBorder="1" applyAlignment="1">
      <alignment horizontal="center" wrapText="1"/>
    </xf>
    <xf numFmtId="170" fontId="77" fillId="0" borderId="10" xfId="0" applyNumberFormat="1" applyFont="1" applyFill="1" applyBorder="1" applyAlignment="1">
      <alignment horizontal="center" wrapText="1"/>
    </xf>
    <xf numFmtId="170" fontId="77" fillId="0" borderId="10" xfId="0" applyNumberFormat="1" applyFont="1" applyBorder="1" applyAlignment="1">
      <alignment horizontal="center" wrapText="1"/>
    </xf>
    <xf numFmtId="166" fontId="77" fillId="0" borderId="10" xfId="0" applyNumberFormat="1" applyFont="1" applyBorder="1" applyAlignment="1">
      <alignment horizontal="center" vertical="center" wrapText="1"/>
    </xf>
    <xf numFmtId="164" fontId="77" fillId="0" borderId="10" xfId="0" applyNumberFormat="1" applyFont="1" applyFill="1" applyBorder="1" applyAlignment="1">
      <alignment wrapText="1"/>
    </xf>
    <xf numFmtId="164" fontId="77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164" fontId="77" fillId="0" borderId="10" xfId="0" applyNumberFormat="1" applyFont="1" applyFill="1" applyBorder="1" applyAlignment="1">
      <alignment horizontal="center" vertical="center" wrapText="1"/>
    </xf>
    <xf numFmtId="164" fontId="77" fillId="0" borderId="14" xfId="0" applyNumberFormat="1" applyFont="1" applyFill="1" applyBorder="1" applyAlignment="1">
      <alignment horizontal="left" wrapText="1"/>
    </xf>
    <xf numFmtId="0" fontId="77" fillId="0" borderId="10" xfId="0" applyFont="1" applyBorder="1" applyAlignment="1">
      <alignment horizontal="center" wrapText="1"/>
    </xf>
    <xf numFmtId="164" fontId="77" fillId="0" borderId="14" xfId="0" applyNumberFormat="1" applyFont="1" applyBorder="1" applyAlignment="1">
      <alignment wrapText="1"/>
    </xf>
    <xf numFmtId="164" fontId="77" fillId="0" borderId="16" xfId="0" applyNumberFormat="1" applyFont="1" applyBorder="1" applyAlignment="1">
      <alignment wrapText="1"/>
    </xf>
    <xf numFmtId="4" fontId="77" fillId="0" borderId="10" xfId="0" applyNumberFormat="1" applyFont="1" applyBorder="1" applyAlignment="1">
      <alignment horizontal="center" wrapText="1"/>
    </xf>
    <xf numFmtId="166" fontId="77" fillId="0" borderId="10" xfId="0" applyNumberFormat="1" applyFont="1" applyBorder="1" applyAlignment="1">
      <alignment horizontal="center" wrapText="1"/>
    </xf>
    <xf numFmtId="164" fontId="77" fillId="0" borderId="14" xfId="0" applyNumberFormat="1" applyFont="1" applyFill="1" applyBorder="1" applyAlignment="1">
      <alignment wrapText="1"/>
    </xf>
    <xf numFmtId="164" fontId="77" fillId="0" borderId="10" xfId="0" applyNumberFormat="1" applyFont="1" applyBorder="1" applyAlignment="1">
      <alignment wrapText="1"/>
    </xf>
    <xf numFmtId="164" fontId="11" fillId="35" borderId="11" xfId="0" applyNumberFormat="1" applyFont="1" applyFill="1" applyBorder="1" applyAlignment="1">
      <alignment/>
    </xf>
    <xf numFmtId="2" fontId="15" fillId="0" borderId="0" xfId="0" applyNumberFormat="1" applyFont="1" applyAlignment="1">
      <alignment wrapText="1"/>
    </xf>
    <xf numFmtId="171" fontId="15" fillId="0" borderId="0" xfId="0" applyNumberFormat="1" applyFont="1" applyAlignment="1">
      <alignment wrapText="1"/>
    </xf>
    <xf numFmtId="2" fontId="13" fillId="0" borderId="0" xfId="0" applyNumberFormat="1" applyFont="1" applyAlignment="1">
      <alignment wrapText="1"/>
    </xf>
    <xf numFmtId="0" fontId="17" fillId="35" borderId="0" xfId="0" applyFont="1" applyFill="1" applyAlignment="1">
      <alignment horizontal="center"/>
    </xf>
    <xf numFmtId="2" fontId="17" fillId="0" borderId="0" xfId="0" applyNumberFormat="1" applyFont="1" applyAlignment="1">
      <alignment horizontal="center"/>
    </xf>
    <xf numFmtId="2" fontId="17" fillId="35" borderId="0" xfId="0" applyNumberFormat="1" applyFont="1" applyFill="1" applyAlignment="1">
      <alignment horizontal="center"/>
    </xf>
    <xf numFmtId="0" fontId="23" fillId="35" borderId="0" xfId="0" applyFont="1" applyFill="1" applyAlignment="1">
      <alignment/>
    </xf>
    <xf numFmtId="2" fontId="78" fillId="0" borderId="0" xfId="0" applyNumberFormat="1" applyFont="1" applyAlignment="1">
      <alignment/>
    </xf>
    <xf numFmtId="16" fontId="13" fillId="0" borderId="10" xfId="0" applyNumberFormat="1" applyFont="1" applyBorder="1" applyAlignment="1">
      <alignment/>
    </xf>
    <xf numFmtId="2" fontId="15" fillId="35" borderId="0" xfId="0" applyNumberFormat="1" applyFont="1" applyFill="1" applyAlignment="1">
      <alignment/>
    </xf>
    <xf numFmtId="2" fontId="46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171" fontId="16" fillId="34" borderId="0" xfId="0" applyNumberFormat="1" applyFont="1" applyFill="1" applyAlignment="1">
      <alignment wrapText="1"/>
    </xf>
    <xf numFmtId="0" fontId="77" fillId="0" borderId="0" xfId="0" applyFont="1" applyAlignment="1">
      <alignment/>
    </xf>
    <xf numFmtId="4" fontId="16" fillId="33" borderId="10" xfId="0" applyNumberFormat="1" applyFont="1" applyFill="1" applyBorder="1" applyAlignment="1">
      <alignment horizontal="right" wrapText="1"/>
    </xf>
    <xf numFmtId="4" fontId="77" fillId="33" borderId="10" xfId="0" applyNumberFormat="1" applyFont="1" applyFill="1" applyBorder="1" applyAlignment="1">
      <alignment wrapText="1"/>
    </xf>
    <xf numFmtId="4" fontId="77" fillId="0" borderId="10" xfId="0" applyNumberFormat="1" applyFont="1" applyBorder="1" applyAlignment="1">
      <alignment wrapText="1"/>
    </xf>
    <xf numFmtId="175" fontId="16" fillId="0" borderId="0" xfId="0" applyNumberFormat="1" applyFont="1" applyAlignment="1">
      <alignment wrapText="1"/>
    </xf>
    <xf numFmtId="0" fontId="78" fillId="33" borderId="10" xfId="0" applyFont="1" applyFill="1" applyBorder="1" applyAlignment="1">
      <alignment wrapText="1"/>
    </xf>
    <xf numFmtId="4" fontId="78" fillId="33" borderId="10" xfId="0" applyNumberFormat="1" applyFont="1" applyFill="1" applyBorder="1" applyAlignment="1">
      <alignment wrapText="1"/>
    </xf>
    <xf numFmtId="164" fontId="77" fillId="0" borderId="14" xfId="0" applyNumberFormat="1" applyFont="1" applyBorder="1" applyAlignment="1">
      <alignment wrapText="1"/>
    </xf>
    <xf numFmtId="164" fontId="77" fillId="0" borderId="16" xfId="0" applyNumberFormat="1" applyFont="1" applyBorder="1" applyAlignment="1">
      <alignment wrapText="1"/>
    </xf>
    <xf numFmtId="164" fontId="77" fillId="0" borderId="14" xfId="0" applyNumberFormat="1" applyFont="1" applyBorder="1" applyAlignment="1">
      <alignment horizontal="left" wrapText="1"/>
    </xf>
    <xf numFmtId="0" fontId="75" fillId="0" borderId="15" xfId="0" applyFont="1" applyBorder="1" applyAlignment="1">
      <alignment horizontal="left" wrapText="1"/>
    </xf>
    <xf numFmtId="164" fontId="77" fillId="0" borderId="14" xfId="0" applyNumberFormat="1" applyFont="1" applyFill="1" applyBorder="1" applyAlignment="1">
      <alignment wrapText="1"/>
    </xf>
    <xf numFmtId="164" fontId="77" fillId="0" borderId="10" xfId="0" applyNumberFormat="1" applyFont="1" applyBorder="1" applyAlignment="1">
      <alignment horizontal="center" vertical="center" wrapText="1"/>
    </xf>
    <xf numFmtId="0" fontId="78" fillId="0" borderId="14" xfId="0" applyFont="1" applyBorder="1" applyAlignment="1">
      <alignment horizontal="left" wrapText="1"/>
    </xf>
    <xf numFmtId="0" fontId="16" fillId="0" borderId="0" xfId="0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80" fillId="33" borderId="0" xfId="0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/>
    </xf>
    <xf numFmtId="164" fontId="77" fillId="0" borderId="14" xfId="0" applyNumberFormat="1" applyFont="1" applyFill="1" applyBorder="1" applyAlignment="1">
      <alignment horizontal="left" wrapText="1"/>
    </xf>
    <xf numFmtId="164" fontId="77" fillId="0" borderId="15" xfId="0" applyNumberFormat="1" applyFont="1" applyFill="1" applyBorder="1" applyAlignment="1">
      <alignment horizontal="left" wrapText="1"/>
    </xf>
    <xf numFmtId="164" fontId="85" fillId="0" borderId="10" xfId="0" applyNumberFormat="1" applyFont="1" applyBorder="1" applyAlignment="1">
      <alignment horizontal="center"/>
    </xf>
    <xf numFmtId="170" fontId="77" fillId="0" borderId="10" xfId="0" applyNumberFormat="1" applyFont="1" applyBorder="1" applyAlignment="1">
      <alignment horizontal="center" vertical="center" wrapText="1"/>
    </xf>
    <xf numFmtId="164" fontId="77" fillId="0" borderId="16" xfId="0" applyNumberFormat="1" applyFont="1" applyFill="1" applyBorder="1" applyAlignment="1">
      <alignment wrapText="1"/>
    </xf>
    <xf numFmtId="4" fontId="77" fillId="0" borderId="10" xfId="0" applyNumberFormat="1" applyFont="1" applyBorder="1" applyAlignment="1">
      <alignment horizontal="center" vertical="center" wrapText="1"/>
    </xf>
    <xf numFmtId="0" fontId="80" fillId="0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3" fillId="35" borderId="0" xfId="0" applyFont="1" applyFill="1" applyAlignment="1">
      <alignment/>
    </xf>
    <xf numFmtId="0" fontId="79" fillId="0" borderId="0" xfId="0" applyFont="1" applyAlignment="1">
      <alignment/>
    </xf>
    <xf numFmtId="4" fontId="82" fillId="0" borderId="10" xfId="0" applyNumberFormat="1" applyFont="1" applyBorder="1" applyAlignment="1">
      <alignment wrapText="1"/>
    </xf>
    <xf numFmtId="0" fontId="80" fillId="0" borderId="10" xfId="0" applyFont="1" applyFill="1" applyBorder="1" applyAlignment="1">
      <alignment wrapText="1"/>
    </xf>
    <xf numFmtId="164" fontId="77" fillId="0" borderId="10" xfId="0" applyNumberFormat="1" applyFont="1" applyBorder="1" applyAlignment="1">
      <alignment horizontal="center" wrapText="1"/>
    </xf>
    <xf numFmtId="0" fontId="78" fillId="0" borderId="10" xfId="0" applyFont="1" applyBorder="1" applyAlignment="1">
      <alignment horizontal="center" wrapText="1"/>
    </xf>
    <xf numFmtId="170" fontId="77" fillId="0" borderId="10" xfId="0" applyNumberFormat="1" applyFont="1" applyBorder="1" applyAlignment="1">
      <alignment horizontal="center" wrapText="1"/>
    </xf>
    <xf numFmtId="166" fontId="77" fillId="0" borderId="10" xfId="0" applyNumberFormat="1" applyFont="1" applyBorder="1" applyAlignment="1">
      <alignment horizontal="center" vertical="center" wrapText="1"/>
    </xf>
    <xf numFmtId="164" fontId="77" fillId="0" borderId="10" xfId="0" applyNumberFormat="1" applyFont="1" applyBorder="1" applyAlignment="1">
      <alignment horizontal="center" vertical="center" wrapText="1"/>
    </xf>
    <xf numFmtId="172" fontId="77" fillId="0" borderId="10" xfId="0" applyNumberFormat="1" applyFont="1" applyBorder="1" applyAlignment="1">
      <alignment horizontal="center" wrapText="1"/>
    </xf>
    <xf numFmtId="164" fontId="77" fillId="0" borderId="10" xfId="0" applyNumberFormat="1" applyFont="1" applyFill="1" applyBorder="1" applyAlignment="1">
      <alignment horizontal="center" vertical="center" wrapText="1"/>
    </xf>
    <xf numFmtId="168" fontId="77" fillId="0" borderId="10" xfId="0" applyNumberFormat="1" applyFont="1" applyBorder="1" applyAlignment="1">
      <alignment horizontal="center" wrapText="1"/>
    </xf>
    <xf numFmtId="0" fontId="77" fillId="0" borderId="10" xfId="0" applyFont="1" applyBorder="1" applyAlignment="1">
      <alignment horizontal="center" wrapText="1"/>
    </xf>
    <xf numFmtId="164" fontId="77" fillId="0" borderId="14" xfId="0" applyNumberFormat="1" applyFont="1" applyBorder="1" applyAlignment="1">
      <alignment wrapText="1"/>
    </xf>
    <xf numFmtId="164" fontId="77" fillId="0" borderId="16" xfId="0" applyNumberFormat="1" applyFont="1" applyBorder="1" applyAlignment="1">
      <alignment wrapText="1"/>
    </xf>
    <xf numFmtId="4" fontId="77" fillId="0" borderId="10" xfId="0" applyNumberFormat="1" applyFont="1" applyBorder="1" applyAlignment="1">
      <alignment horizontal="center" wrapText="1"/>
    </xf>
    <xf numFmtId="166" fontId="77" fillId="0" borderId="10" xfId="0" applyNumberFormat="1" applyFont="1" applyBorder="1" applyAlignment="1">
      <alignment horizontal="center" wrapText="1"/>
    </xf>
    <xf numFmtId="164" fontId="77" fillId="0" borderId="14" xfId="0" applyNumberFormat="1" applyFont="1" applyBorder="1" applyAlignment="1">
      <alignment horizontal="left" wrapText="1"/>
    </xf>
    <xf numFmtId="0" fontId="78" fillId="0" borderId="0" xfId="0" applyFont="1" applyAlignment="1">
      <alignment/>
    </xf>
    <xf numFmtId="0" fontId="78" fillId="0" borderId="0" xfId="0" applyFont="1" applyBorder="1" applyAlignment="1">
      <alignment wrapText="1"/>
    </xf>
    <xf numFmtId="0" fontId="80" fillId="0" borderId="0" xfId="0" applyFont="1" applyFill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83" fillId="0" borderId="10" xfId="0" applyFont="1" applyBorder="1" applyAlignment="1">
      <alignment horizontal="center" wrapText="1"/>
    </xf>
    <xf numFmtId="164" fontId="77" fillId="0" borderId="15" xfId="0" applyNumberFormat="1" applyFont="1" applyBorder="1" applyAlignment="1">
      <alignment horizontal="left" wrapText="1"/>
    </xf>
    <xf numFmtId="0" fontId="75" fillId="0" borderId="15" xfId="0" applyFont="1" applyBorder="1" applyAlignment="1">
      <alignment horizontal="left" wrapText="1"/>
    </xf>
    <xf numFmtId="4" fontId="78" fillId="0" borderId="14" xfId="0" applyNumberFormat="1" applyFont="1" applyBorder="1" applyAlignment="1">
      <alignment wrapText="1"/>
    </xf>
    <xf numFmtId="164" fontId="85" fillId="0" borderId="10" xfId="0" applyNumberFormat="1" applyFont="1" applyFill="1" applyBorder="1" applyAlignment="1">
      <alignment horizontal="center"/>
    </xf>
    <xf numFmtId="0" fontId="86" fillId="0" borderId="15" xfId="0" applyFont="1" applyBorder="1" applyAlignment="1">
      <alignment horizontal="left" wrapText="1"/>
    </xf>
    <xf numFmtId="0" fontId="86" fillId="0" borderId="10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49" fontId="77" fillId="0" borderId="10" xfId="0" applyNumberFormat="1" applyFont="1" applyBorder="1" applyAlignment="1">
      <alignment horizontal="center" wrapText="1"/>
    </xf>
    <xf numFmtId="164" fontId="77" fillId="0" borderId="11" xfId="0" applyNumberFormat="1" applyFont="1" applyBorder="1" applyAlignment="1">
      <alignment/>
    </xf>
    <xf numFmtId="0" fontId="2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8" fillId="33" borderId="0" xfId="0" applyFont="1" applyFill="1" applyBorder="1" applyAlignment="1">
      <alignment wrapText="1"/>
    </xf>
    <xf numFmtId="172" fontId="11" fillId="0" borderId="10" xfId="0" applyNumberFormat="1" applyFont="1" applyFill="1" applyBorder="1" applyAlignment="1">
      <alignment horizontal="center" wrapText="1"/>
    </xf>
    <xf numFmtId="164" fontId="11" fillId="0" borderId="16" xfId="0" applyNumberFormat="1" applyFont="1" applyBorder="1" applyAlignment="1">
      <alignment horizontal="left" wrapText="1"/>
    </xf>
    <xf numFmtId="164" fontId="85" fillId="0" borderId="10" xfId="0" applyNumberFormat="1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164" fontId="77" fillId="0" borderId="14" xfId="0" applyNumberFormat="1" applyFont="1" applyBorder="1" applyAlignment="1">
      <alignment wrapText="1"/>
    </xf>
    <xf numFmtId="164" fontId="77" fillId="0" borderId="16" xfId="0" applyNumberFormat="1" applyFont="1" applyBorder="1" applyAlignment="1">
      <alignment wrapText="1"/>
    </xf>
    <xf numFmtId="164" fontId="77" fillId="0" borderId="15" xfId="0" applyNumberFormat="1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2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164" fontId="11" fillId="0" borderId="14" xfId="0" applyNumberFormat="1" applyFont="1" applyBorder="1" applyAlignment="1">
      <alignment horizontal="left" wrapText="1"/>
    </xf>
    <xf numFmtId="164" fontId="11" fillId="0" borderId="16" xfId="0" applyNumberFormat="1" applyFont="1" applyBorder="1" applyAlignment="1">
      <alignment horizontal="left" wrapText="1"/>
    </xf>
    <xf numFmtId="164" fontId="11" fillId="0" borderId="15" xfId="0" applyNumberFormat="1" applyFont="1" applyBorder="1" applyAlignment="1">
      <alignment horizontal="left" wrapText="1"/>
    </xf>
    <xf numFmtId="0" fontId="22" fillId="0" borderId="14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/>
    </xf>
    <xf numFmtId="164" fontId="77" fillId="0" borderId="14" xfId="0" applyNumberFormat="1" applyFont="1" applyBorder="1" applyAlignment="1">
      <alignment horizontal="left" wrapText="1"/>
    </xf>
    <xf numFmtId="164" fontId="77" fillId="0" borderId="16" xfId="0" applyNumberFormat="1" applyFont="1" applyBorder="1" applyAlignment="1">
      <alignment horizontal="left" wrapText="1"/>
    </xf>
    <xf numFmtId="4" fontId="77" fillId="0" borderId="14" xfId="0" applyNumberFormat="1" applyFont="1" applyBorder="1" applyAlignment="1">
      <alignment horizontal="center"/>
    </xf>
    <xf numFmtId="4" fontId="77" fillId="0" borderId="15" xfId="0" applyNumberFormat="1" applyFont="1" applyBorder="1" applyAlignment="1">
      <alignment horizontal="center"/>
    </xf>
    <xf numFmtId="0" fontId="75" fillId="0" borderId="16" xfId="0" applyFont="1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4" fontId="14" fillId="0" borderId="10" xfId="0" applyNumberFormat="1" applyFont="1" applyBorder="1" applyAlignment="1">
      <alignment/>
    </xf>
    <xf numFmtId="4" fontId="11" fillId="0" borderId="14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1" fillId="0" borderId="14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6" fillId="0" borderId="21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4" fillId="0" borderId="0" xfId="0" applyFont="1" applyAlignment="1">
      <alignment horizontal="center" wrapText="1"/>
    </xf>
    <xf numFmtId="4" fontId="85" fillId="0" borderId="10" xfId="0" applyNumberFormat="1" applyFont="1" applyFill="1" applyBorder="1" applyAlignment="1">
      <alignment horizontal="center"/>
    </xf>
    <xf numFmtId="0" fontId="14" fillId="0" borderId="15" xfId="0" applyFont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wrapText="1"/>
    </xf>
    <xf numFmtId="4" fontId="14" fillId="0" borderId="15" xfId="0" applyNumberFormat="1" applyFont="1" applyBorder="1" applyAlignment="1">
      <alignment/>
    </xf>
    <xf numFmtId="4" fontId="7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77" fillId="0" borderId="15" xfId="0" applyNumberFormat="1" applyFont="1" applyBorder="1" applyAlignment="1">
      <alignment horizontal="left" wrapText="1"/>
    </xf>
    <xf numFmtId="4" fontId="18" fillId="0" borderId="10" xfId="0" applyNumberFormat="1" applyFont="1" applyFill="1" applyBorder="1" applyAlignment="1">
      <alignment horizontal="center"/>
    </xf>
    <xf numFmtId="0" fontId="22" fillId="0" borderId="15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164" fontId="77" fillId="0" borderId="14" xfId="0" applyNumberFormat="1" applyFont="1" applyFill="1" applyBorder="1" applyAlignment="1">
      <alignment horizontal="left" wrapText="1"/>
    </xf>
    <xf numFmtId="164" fontId="77" fillId="0" borderId="15" xfId="0" applyNumberFormat="1" applyFont="1" applyFill="1" applyBorder="1" applyAlignment="1">
      <alignment horizontal="left" wrapText="1"/>
    </xf>
    <xf numFmtId="164" fontId="18" fillId="0" borderId="10" xfId="0" applyNumberFormat="1" applyFont="1" applyBorder="1" applyAlignment="1">
      <alignment horizontal="center"/>
    </xf>
    <xf numFmtId="164" fontId="22" fillId="0" borderId="14" xfId="0" applyNumberFormat="1" applyFont="1" applyBorder="1" applyAlignment="1">
      <alignment horizontal="center" wrapText="1"/>
    </xf>
    <xf numFmtId="164" fontId="85" fillId="0" borderId="10" xfId="0" applyNumberFormat="1" applyFont="1" applyBorder="1" applyAlignment="1">
      <alignment horizontal="center"/>
    </xf>
    <xf numFmtId="0" fontId="75" fillId="0" borderId="15" xfId="0" applyFont="1" applyBorder="1" applyAlignment="1">
      <alignment horizontal="left" wrapText="1"/>
    </xf>
    <xf numFmtId="164" fontId="22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/>
    </xf>
    <xf numFmtId="164" fontId="85" fillId="0" borderId="1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left" vertical="center" wrapText="1"/>
    </xf>
    <xf numFmtId="164" fontId="11" fillId="0" borderId="15" xfId="0" applyNumberFormat="1" applyFont="1" applyBorder="1" applyAlignment="1">
      <alignment horizontal="left" vertical="center" wrapText="1"/>
    </xf>
    <xf numFmtId="164" fontId="77" fillId="0" borderId="14" xfId="0" applyNumberFormat="1" applyFont="1" applyBorder="1" applyAlignment="1">
      <alignment horizontal="left" vertical="center" wrapText="1"/>
    </xf>
    <xf numFmtId="164" fontId="77" fillId="0" borderId="15" xfId="0" applyNumberFormat="1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4" fontId="85" fillId="0" borderId="14" xfId="0" applyNumberFormat="1" applyFont="1" applyFill="1" applyBorder="1" applyAlignment="1">
      <alignment horizontal="center" wrapText="1"/>
    </xf>
    <xf numFmtId="0" fontId="75" fillId="0" borderId="15" xfId="0" applyFont="1" applyBorder="1" applyAlignment="1">
      <alignment horizontal="center" wrapText="1"/>
    </xf>
    <xf numFmtId="164" fontId="11" fillId="0" borderId="14" xfId="0" applyNumberFormat="1" applyFont="1" applyFill="1" applyBorder="1" applyAlignment="1">
      <alignment horizontal="left" wrapText="1"/>
    </xf>
    <xf numFmtId="164" fontId="11" fillId="0" borderId="15" xfId="0" applyNumberFormat="1" applyFont="1" applyFill="1" applyBorder="1" applyAlignment="1">
      <alignment horizontal="left" wrapText="1"/>
    </xf>
    <xf numFmtId="0" fontId="77" fillId="0" borderId="14" xfId="0" applyFont="1" applyBorder="1" applyAlignment="1">
      <alignment horizontal="left" wrapText="1"/>
    </xf>
    <xf numFmtId="0" fontId="77" fillId="0" borderId="15" xfId="0" applyFont="1" applyBorder="1" applyAlignment="1">
      <alignment horizontal="left" wrapText="1"/>
    </xf>
    <xf numFmtId="164" fontId="85" fillId="0" borderId="1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80" fillId="0" borderId="23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0" fontId="80" fillId="0" borderId="25" xfId="0" applyFont="1" applyBorder="1" applyAlignment="1">
      <alignment horizontal="center" vertical="center"/>
    </xf>
    <xf numFmtId="0" fontId="80" fillId="0" borderId="26" xfId="0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/>
    </xf>
    <xf numFmtId="164" fontId="18" fillId="0" borderId="15" xfId="0" applyNumberFormat="1" applyFont="1" applyBorder="1" applyAlignment="1">
      <alignment horizontal="center"/>
    </xf>
    <xf numFmtId="164" fontId="18" fillId="0" borderId="14" xfId="0" applyNumberFormat="1" applyFont="1" applyFill="1" applyBorder="1" applyAlignment="1">
      <alignment horizontal="center"/>
    </xf>
    <xf numFmtId="164" fontId="18" fillId="0" borderId="15" xfId="0" applyNumberFormat="1" applyFont="1" applyFill="1" applyBorder="1" applyAlignment="1">
      <alignment horizontal="center"/>
    </xf>
    <xf numFmtId="164" fontId="85" fillId="0" borderId="14" xfId="0" applyNumberFormat="1" applyFont="1" applyBorder="1" applyAlignment="1">
      <alignment horizontal="center"/>
    </xf>
    <xf numFmtId="164" fontId="85" fillId="0" borderId="15" xfId="0" applyNumberFormat="1" applyFont="1" applyBorder="1" applyAlignment="1">
      <alignment horizontal="center"/>
    </xf>
    <xf numFmtId="164" fontId="77" fillId="0" borderId="14" xfId="0" applyNumberFormat="1" applyFont="1" applyFill="1" applyBorder="1" applyAlignment="1">
      <alignment wrapText="1"/>
    </xf>
    <xf numFmtId="164" fontId="77" fillId="0" borderId="15" xfId="0" applyNumberFormat="1" applyFont="1" applyFill="1" applyBorder="1" applyAlignment="1">
      <alignment wrapText="1"/>
    </xf>
    <xf numFmtId="164" fontId="11" fillId="0" borderId="14" xfId="0" applyNumberFormat="1" applyFont="1" applyFill="1" applyBorder="1" applyAlignment="1">
      <alignment wrapText="1"/>
    </xf>
    <xf numFmtId="164" fontId="11" fillId="0" borderId="15" xfId="0" applyNumberFormat="1" applyFont="1" applyFill="1" applyBorder="1" applyAlignment="1">
      <alignment wrapText="1"/>
    </xf>
    <xf numFmtId="164" fontId="11" fillId="0" borderId="14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164" fontId="77" fillId="0" borderId="14" xfId="0" applyNumberFormat="1" applyFont="1" applyBorder="1" applyAlignment="1">
      <alignment horizontal="center" vertical="center"/>
    </xf>
    <xf numFmtId="164" fontId="77" fillId="0" borderId="15" xfId="0" applyNumberFormat="1" applyFont="1" applyBorder="1" applyAlignment="1">
      <alignment horizontal="center" vertical="center"/>
    </xf>
    <xf numFmtId="164" fontId="77" fillId="0" borderId="14" xfId="0" applyNumberFormat="1" applyFont="1" applyFill="1" applyBorder="1" applyAlignment="1">
      <alignment horizontal="center" vertical="center"/>
    </xf>
    <xf numFmtId="164" fontId="77" fillId="0" borderId="15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78" fillId="0" borderId="14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0" fontId="14" fillId="35" borderId="0" xfId="0" applyFont="1" applyFill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5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164" fontId="11" fillId="0" borderId="10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center" wrapText="1"/>
    </xf>
    <xf numFmtId="164" fontId="11" fillId="0" borderId="15" xfId="0" applyNumberFormat="1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64" fontId="77" fillId="0" borderId="14" xfId="0" applyNumberFormat="1" applyFont="1" applyBorder="1" applyAlignment="1">
      <alignment horizontal="center" wrapText="1"/>
    </xf>
    <xf numFmtId="164" fontId="77" fillId="0" borderId="15" xfId="0" applyNumberFormat="1" applyFont="1" applyBorder="1" applyAlignment="1">
      <alignment horizontal="center" wrapText="1"/>
    </xf>
    <xf numFmtId="0" fontId="21" fillId="0" borderId="15" xfId="0" applyFont="1" applyBorder="1" applyAlignment="1">
      <alignment/>
    </xf>
    <xf numFmtId="0" fontId="87" fillId="0" borderId="15" xfId="0" applyFont="1" applyBorder="1" applyAlignment="1">
      <alignment/>
    </xf>
    <xf numFmtId="0" fontId="13" fillId="35" borderId="0" xfId="0" applyFont="1" applyFill="1" applyAlignment="1">
      <alignment wrapText="1"/>
    </xf>
    <xf numFmtId="0" fontId="14" fillId="35" borderId="0" xfId="0" applyFont="1" applyFill="1" applyAlignment="1">
      <alignment wrapText="1"/>
    </xf>
    <xf numFmtId="164" fontId="77" fillId="0" borderId="10" xfId="0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164" fontId="78" fillId="0" borderId="14" xfId="0" applyNumberFormat="1" applyFont="1" applyBorder="1" applyAlignment="1">
      <alignment horizontal="center" wrapText="1"/>
    </xf>
    <xf numFmtId="0" fontId="75" fillId="0" borderId="15" xfId="0" applyFont="1" applyBorder="1" applyAlignment="1">
      <alignment/>
    </xf>
    <xf numFmtId="164" fontId="6" fillId="0" borderId="14" xfId="0" applyNumberFormat="1" applyFont="1" applyBorder="1" applyAlignment="1">
      <alignment horizontal="left" wrapText="1"/>
    </xf>
    <xf numFmtId="164" fontId="6" fillId="0" borderId="16" xfId="0" applyNumberFormat="1" applyFont="1" applyBorder="1" applyAlignment="1">
      <alignment horizontal="left" wrapText="1"/>
    </xf>
    <xf numFmtId="164" fontId="6" fillId="0" borderId="15" xfId="0" applyNumberFormat="1" applyFont="1" applyBorder="1" applyAlignment="1">
      <alignment horizontal="left" wrapText="1"/>
    </xf>
    <xf numFmtId="164" fontId="6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164" fontId="8" fillId="0" borderId="14" xfId="0" applyNumberFormat="1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7" fillId="0" borderId="27" xfId="0" applyFont="1" applyBorder="1" applyAlignment="1">
      <alignment horizontal="left" wrapText="1"/>
    </xf>
    <xf numFmtId="0" fontId="75" fillId="0" borderId="27" xfId="0" applyFont="1" applyBorder="1" applyAlignment="1">
      <alignment horizontal="left" wrapText="1"/>
    </xf>
    <xf numFmtId="0" fontId="8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85" fillId="35" borderId="10" xfId="0" applyNumberFormat="1" applyFont="1" applyFill="1" applyBorder="1" applyAlignment="1">
      <alignment horizontal="center"/>
    </xf>
    <xf numFmtId="164" fontId="11" fillId="0" borderId="16" xfId="0" applyNumberFormat="1" applyFont="1" applyFill="1" applyBorder="1" applyAlignment="1">
      <alignment horizontal="left" wrapText="1"/>
    </xf>
    <xf numFmtId="0" fontId="14" fillId="0" borderId="17" xfId="0" applyFont="1" applyBorder="1" applyAlignment="1">
      <alignment horizontal="center" wrapText="1"/>
    </xf>
    <xf numFmtId="164" fontId="77" fillId="0" borderId="10" xfId="0" applyNumberFormat="1" applyFont="1" applyBorder="1" applyAlignment="1">
      <alignment horizontal="left" wrapText="1"/>
    </xf>
    <xf numFmtId="164" fontId="11" fillId="0" borderId="10" xfId="0" applyNumberFormat="1" applyFont="1" applyFill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left" wrapText="1"/>
    </xf>
    <xf numFmtId="164" fontId="85" fillId="0" borderId="14" xfId="0" applyNumberFormat="1" applyFont="1" applyBorder="1" applyAlignment="1">
      <alignment horizontal="center" wrapText="1"/>
    </xf>
    <xf numFmtId="0" fontId="16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164" fontId="22" fillId="0" borderId="14" xfId="0" applyNumberFormat="1" applyFont="1" applyBorder="1" applyAlignment="1">
      <alignment horizontal="left" wrapText="1"/>
    </xf>
    <xf numFmtId="164" fontId="22" fillId="0" borderId="15" xfId="0" applyNumberFormat="1" applyFont="1" applyBorder="1" applyAlignment="1">
      <alignment horizontal="left" wrapText="1"/>
    </xf>
    <xf numFmtId="164" fontId="22" fillId="0" borderId="14" xfId="0" applyNumberFormat="1" applyFont="1" applyBorder="1" applyAlignment="1">
      <alignment horizontal="center"/>
    </xf>
    <xf numFmtId="164" fontId="22" fillId="0" borderId="15" xfId="0" applyNumberFormat="1" applyFont="1" applyBorder="1" applyAlignment="1">
      <alignment horizontal="center"/>
    </xf>
    <xf numFmtId="164" fontId="22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164" fontId="85" fillId="0" borderId="23" xfId="0" applyNumberFormat="1" applyFont="1" applyBorder="1" applyAlignment="1">
      <alignment horizontal="center"/>
    </xf>
    <xf numFmtId="164" fontId="85" fillId="0" borderId="24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164" fontId="85" fillId="0" borderId="14" xfId="0" applyNumberFormat="1" applyFont="1" applyFill="1" applyBorder="1" applyAlignment="1">
      <alignment horizontal="center"/>
    </xf>
    <xf numFmtId="164" fontId="85" fillId="0" borderId="15" xfId="0" applyNumberFormat="1" applyFont="1" applyFill="1" applyBorder="1" applyAlignment="1">
      <alignment horizontal="center"/>
    </xf>
    <xf numFmtId="164" fontId="16" fillId="0" borderId="14" xfId="0" applyNumberFormat="1" applyFont="1" applyBorder="1" applyAlignment="1">
      <alignment horizontal="left" wrapText="1"/>
    </xf>
    <xf numFmtId="164" fontId="16" fillId="0" borderId="15" xfId="0" applyNumberFormat="1" applyFont="1" applyBorder="1" applyAlignment="1">
      <alignment horizontal="left" wrapText="1"/>
    </xf>
    <xf numFmtId="164" fontId="24" fillId="0" borderId="14" xfId="0" applyNumberFormat="1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29" xfId="0" applyFont="1" applyBorder="1" applyAlignment="1">
      <alignment wrapText="1"/>
    </xf>
    <xf numFmtId="164" fontId="11" fillId="0" borderId="0" xfId="0" applyNumberFormat="1" applyFont="1" applyFill="1" applyBorder="1" applyAlignment="1">
      <alignment horizontal="left" wrapText="1"/>
    </xf>
    <xf numFmtId="164" fontId="77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wrapText="1"/>
    </xf>
    <xf numFmtId="164" fontId="18" fillId="0" borderId="0" xfId="0" applyNumberFormat="1" applyFont="1" applyFill="1" applyBorder="1" applyAlignment="1">
      <alignment horizontal="center"/>
    </xf>
    <xf numFmtId="164" fontId="18" fillId="0" borderId="10" xfId="0" applyNumberFormat="1" applyFont="1" applyBorder="1" applyAlignment="1">
      <alignment horizontal="center" wrapText="1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75" fillId="0" borderId="15" xfId="0" applyFont="1" applyFill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88" fillId="0" borderId="15" xfId="0" applyFont="1" applyBorder="1" applyAlignment="1">
      <alignment wrapText="1"/>
    </xf>
    <xf numFmtId="0" fontId="77" fillId="0" borderId="0" xfId="0" applyFont="1" applyBorder="1" applyAlignment="1">
      <alignment horizontal="left" wrapText="1"/>
    </xf>
    <xf numFmtId="0" fontId="75" fillId="0" borderId="0" xfId="0" applyFont="1" applyBorder="1" applyAlignment="1">
      <alignment horizontal="left" wrapText="1"/>
    </xf>
    <xf numFmtId="0" fontId="80" fillId="0" borderId="0" xfId="0" applyFont="1" applyBorder="1" applyAlignment="1">
      <alignment horizontal="center" vertical="center"/>
    </xf>
    <xf numFmtId="0" fontId="77" fillId="0" borderId="14" xfId="0" applyFont="1" applyFill="1" applyBorder="1" applyAlignment="1">
      <alignment horizontal="left" wrapText="1"/>
    </xf>
    <xf numFmtId="0" fontId="77" fillId="0" borderId="15" xfId="0" applyFont="1" applyFill="1" applyBorder="1" applyAlignment="1">
      <alignment horizontal="left" wrapText="1"/>
    </xf>
    <xf numFmtId="4" fontId="18" fillId="0" borderId="14" xfId="0" applyNumberFormat="1" applyFont="1" applyFill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3" fillId="0" borderId="14" xfId="0" applyFont="1" applyBorder="1" applyAlignment="1">
      <alignment horizontal="left" wrapText="1"/>
    </xf>
    <xf numFmtId="166" fontId="11" fillId="0" borderId="10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 wrapText="1"/>
    </xf>
    <xf numFmtId="164" fontId="18" fillId="0" borderId="10" xfId="0" applyNumberFormat="1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164" fontId="85" fillId="0" borderId="23" xfId="0" applyNumberFormat="1" applyFont="1" applyFill="1" applyBorder="1" applyAlignment="1">
      <alignment horizontal="center"/>
    </xf>
    <xf numFmtId="164" fontId="85" fillId="0" borderId="24" xfId="0" applyNumberFormat="1" applyFont="1" applyFill="1" applyBorder="1" applyAlignment="1">
      <alignment horizontal="center"/>
    </xf>
    <xf numFmtId="164" fontId="18" fillId="0" borderId="23" xfId="0" applyNumberFormat="1" applyFont="1" applyFill="1" applyBorder="1" applyAlignment="1">
      <alignment horizontal="center"/>
    </xf>
    <xf numFmtId="164" fontId="18" fillId="0" borderId="24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164" fontId="85" fillId="0" borderId="14" xfId="0" applyNumberFormat="1" applyFont="1" applyFill="1" applyBorder="1" applyAlignment="1">
      <alignment horizontal="center" wrapText="1"/>
    </xf>
    <xf numFmtId="0" fontId="75" fillId="0" borderId="15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styles" Target="styles.xml" /><Relationship Id="rId110" Type="http://schemas.openxmlformats.org/officeDocument/2006/relationships/sharedStrings" Target="sharedStrings.xml" /><Relationship Id="rId111" Type="http://schemas.openxmlformats.org/officeDocument/2006/relationships/externalLink" Target="externalLinks/externalLink1.xml" /><Relationship Id="rId112" Type="http://schemas.openxmlformats.org/officeDocument/2006/relationships/externalLink" Target="externalLinks/externalLink2.xml" /><Relationship Id="rId1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9533\Desktop\&#1054;&#1054;&#1054;%20&#1058;&#1077;&#1093;&#1085;&#1086;%20&#1056;%202022\&#1060;&#1080;&#1085;&#1072;&#1085;&#1089;&#1086;&#1074;&#1099;&#1077;%20&#1086;&#1090;&#1095;&#1077;&#1090;&#1099;%20&#1054;&#1054;&#1054;%20&#1058;&#1077;&#1093;&#1085;&#1086;%20&#1056;%202021\&#1054;&#1090;&#1095;&#1077;&#1090;%20&#1087;&#1086;%20&#1076;&#1086;&#1084;&#1072;&#1084;%20&#1079;&#1072;%202021%20&#1075;%20&#1076;&#1083;&#1103;%20&#1088;&#1072;&#1079;&#1084;&#1077;&#1097;&#1077;&#1085;&#1080;&#1103;%20&#1085;&#1072;%20&#1089;&#1072;&#1081;&#109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9533\Desktop\&#1054;&#1054;&#1054;%20&#1058;&#1077;&#1093;&#1085;&#1086;%20&#1056;%202023\&#1060;&#1080;&#1085;&#1072;&#1085;&#1089;&#1086;&#1074;&#1099;&#1077;%20&#1086;&#1090;&#1095;&#1077;&#1090;&#1099;%2022\&#1054;&#1090;&#1095;&#1077;&#1090;%20&#1087;&#1086;%20&#1076;&#1086;&#1084;&#1072;&#1084;%20&#1079;&#1072;%202022%20&#1075;%20&#1076;&#1083;&#1103;%20&#1088;&#1072;&#1079;&#1084;&#1077;&#1097;&#1077;&#1085;&#1080;&#1103;%20&#1085;&#1072;%20&#1089;&#1072;&#1081;&#109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левизионная 2а"/>
      <sheetName val="Пионерская 16"/>
      <sheetName val=" Пионерская 1318 кв.1-50"/>
      <sheetName val=" Пионерская 1318 кв.51-64"/>
      <sheetName val="Багговута 12"/>
      <sheetName val="Пионерская 15"/>
      <sheetName val="Социалистическая 3"/>
      <sheetName val="Социалистическая 4"/>
      <sheetName val="Социалистическая 6 к.1"/>
      <sheetName val="Социалистическая 6"/>
      <sheetName val="Социалистическая 9"/>
      <sheetName val="Социалистическая 12"/>
      <sheetName val="Телевизионная 2"/>
      <sheetName val="Телевизионная 4"/>
      <sheetName val="Чичерина 7а"/>
      <sheetName val="Чичерина 8"/>
      <sheetName val="Чичерина 16 к. 1"/>
      <sheetName val="пер.Чичерина 24"/>
      <sheetName val="пер. Чичерина 28"/>
      <sheetName val="Калинина 12"/>
      <sheetName val="Калинина 18"/>
      <sheetName val="Калинина 23"/>
      <sheetName val="Пионерская 9"/>
      <sheetName val="Высокая 4"/>
      <sheetName val="Пухова 15"/>
      <sheetName val="Пухова 17 изм"/>
      <sheetName val="Калинина 4"/>
      <sheetName val="Тельмана 10"/>
      <sheetName val="Пионерская 18"/>
      <sheetName val="Чичерина 12 к.1"/>
      <sheetName val="Телевизионная 6 к.1"/>
      <sheetName val="Пионерская 2"/>
      <sheetName val="Телевизионная 2 к.1"/>
      <sheetName val="Чичерина 16"/>
      <sheetName val="Чичерина 19"/>
      <sheetName val="Чичерина 22"/>
      <sheetName val="Лист1"/>
      <sheetName val="Лист2"/>
      <sheetName val="Ленина 68,8"/>
      <sheetName val="Ленина 67"/>
      <sheetName val="Огарева 20"/>
      <sheetName val="Пролетарская 40"/>
      <sheetName val="Чижевского 4"/>
      <sheetName val="Билибина 10"/>
      <sheetName val="Ленина 61.5"/>
      <sheetName val="Билибина 26"/>
      <sheetName val="Московская 167"/>
      <sheetName val="Билибина 28"/>
      <sheetName val="Общее"/>
      <sheetName val="Пролетарская 135"/>
      <sheetName val="Молодежная 41"/>
      <sheetName val="Солнечный б-р 2 общий"/>
      <sheetName val="Солнечный б-р 4"/>
      <sheetName val="Солнечный б-р 4-1"/>
      <sheetName val="Солнечный б-р 4-2"/>
      <sheetName val="Аллейная 2"/>
      <sheetName val="Телевизионная 10"/>
      <sheetName val="Дубрава 1"/>
      <sheetName val="Дубрава 1а"/>
      <sheetName val="Дубрава 2"/>
      <sheetName val="Дубрава 3"/>
      <sheetName val="Дубрава 4"/>
      <sheetName val="Дубрава 5"/>
      <sheetName val="Дубрава 6"/>
      <sheetName val="Дубрава 7"/>
      <sheetName val="Дубрава 9"/>
      <sheetName val="Дубрава10"/>
      <sheetName val="Дубрава 11"/>
      <sheetName val="Нефтебаза 1"/>
      <sheetName val="Нефтебаза 2"/>
      <sheetName val="Нефтебаза 3"/>
      <sheetName val="Нефтебаза 4"/>
      <sheetName val="Нефтебаза 5"/>
      <sheetName val="Нефтебаза 6"/>
      <sheetName val="Аэропортовская 14"/>
      <sheetName val="Дорожная 11 корп1"/>
      <sheetName val="Дорожная 11 корп2"/>
      <sheetName val="Моторная 30А"/>
      <sheetName val="Грабцевское шоссе 160"/>
      <sheetName val="Аэропортовская 9"/>
      <sheetName val="Хрустальная 52"/>
      <sheetName val="Хрустальная 56"/>
      <sheetName val="Хрустальная 62"/>
      <sheetName val="Хрустальная 66"/>
      <sheetName val="Хрустальная 70"/>
      <sheetName val="Хрустальная 74"/>
      <sheetName val="Молодежная 46"/>
      <sheetName val="Молодежная 48"/>
      <sheetName val="Солнечный бульвар 20"/>
      <sheetName val="Грабцевское шоссе 132 корп.1"/>
      <sheetName val="Гагарина 9"/>
      <sheetName val="Добровольского 14"/>
      <sheetName val="Чижевского 12"/>
      <sheetName val="Чижевского 23"/>
      <sheetName val="Болотникова 16"/>
      <sheetName val="Плеханова 2 к.2"/>
      <sheetName val="65 лет Победы 29"/>
      <sheetName val="Суворова 153 к.5"/>
      <sheetName val="А.Королева 29 гаражи"/>
      <sheetName val="Кооперативная1дробь2"/>
      <sheetName val="Парижской Коммуны,1а"/>
      <sheetName val="А.Королева 29"/>
      <sheetName val="Калинина 15"/>
      <sheetName val="Грабцевское шоссе,77"/>
      <sheetName val="Грабцевское шоссе,78"/>
    </sheetNames>
    <sheetDataSet>
      <sheetData sheetId="102">
        <row r="34">
          <cell r="G34">
            <v>153807.3697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левизионная 2а"/>
      <sheetName val="Пионерская 16"/>
      <sheetName val=" Пионерская 1318 кв.1-50"/>
      <sheetName val=" Пионерская 1318 кв.51-64"/>
      <sheetName val="Багговута 12"/>
      <sheetName val="Пионерская 15"/>
      <sheetName val="Социалистическая 3"/>
      <sheetName val="Социалистическая 4"/>
      <sheetName val="Социалистическая 6 к.1"/>
      <sheetName val="Социалистическая 6"/>
      <sheetName val="Социалистическая 9"/>
      <sheetName val="Социалистическая 12"/>
      <sheetName val="Телевизионная 2"/>
      <sheetName val="Телевизионная 4"/>
      <sheetName val="Чичерина 7а"/>
      <sheetName val="Чичерина 8"/>
      <sheetName val="Чичерина 16 к. 1"/>
      <sheetName val="пер.Чичерина 24"/>
      <sheetName val="пер. Чичерина 28"/>
      <sheetName val="Калинина 12"/>
      <sheetName val="Калинина 18"/>
      <sheetName val="Калинина 23"/>
      <sheetName val="Пионерская 9"/>
      <sheetName val="Высокая 4"/>
      <sheetName val="Пухова 15"/>
      <sheetName val="Пухова 17"/>
      <sheetName val="Калинина 4"/>
      <sheetName val="Тельмана 10"/>
      <sheetName val="Пионерская 18"/>
      <sheetName val="Чичерина 12 к.1"/>
      <sheetName val="Телевизионная 6 к.1"/>
      <sheetName val="Пионерская 2"/>
      <sheetName val="Телевизионная 2 к.1"/>
      <sheetName val="Чичерина 16"/>
      <sheetName val="Чичерина 19"/>
      <sheetName val="Чичерина 22"/>
      <sheetName val="Лист1"/>
      <sheetName val="Лист2"/>
      <sheetName val="Ленина 68,8"/>
      <sheetName val="Ленина 67"/>
      <sheetName val="Огарева 20"/>
      <sheetName val="Пролетарская 40"/>
      <sheetName val="Чижевского 4"/>
      <sheetName val="Билибина 10"/>
      <sheetName val="Ленина 61.5"/>
      <sheetName val="Билибина 26"/>
      <sheetName val="Московская 167"/>
      <sheetName val="Билибина 28"/>
      <sheetName val="Общее"/>
      <sheetName val="Пролетарская 135"/>
      <sheetName val="Молодежная 41"/>
      <sheetName val="Солнечный б-р 2 общий"/>
      <sheetName val="Солнечный б-р 4"/>
      <sheetName val="Солнечный б-р 4-1"/>
      <sheetName val="Солнечный б-р 4-2"/>
      <sheetName val="Аллейная 2"/>
      <sheetName val="Телевизионная 10"/>
      <sheetName val="Дубрава 1"/>
      <sheetName val="Дубрава 2"/>
      <sheetName val="Дубрава 3"/>
      <sheetName val="Дубрава 4"/>
      <sheetName val="Дубрава 5"/>
      <sheetName val="Дубрава 6"/>
      <sheetName val="Дубрава 7"/>
      <sheetName val="Дубрава 9"/>
      <sheetName val="Дубрава10"/>
      <sheetName val="Дубрава 11"/>
      <sheetName val="Нефтебаза 1"/>
      <sheetName val="Нефтебаза 2"/>
      <sheetName val="Нефтебаза 3"/>
      <sheetName val="Нефтебаза 4"/>
      <sheetName val="Нефтебаза 5"/>
      <sheetName val="Нефтебаза 6"/>
      <sheetName val="Аэропортовская 14"/>
      <sheetName val="Дорожная 11 корп1"/>
      <sheetName val="Дорожная 11 корп2"/>
      <sheetName val="Моторная 30А"/>
      <sheetName val="Грабцевское шоссе 160"/>
      <sheetName val="Аэропортовская 9"/>
      <sheetName val="Хрустальная 52"/>
      <sheetName val="Хрустальная 56"/>
      <sheetName val="Хрустальная 62"/>
      <sheetName val="Хрустальная 66"/>
      <sheetName val="Хрустальная 70"/>
      <sheetName val="Хрустальная 74"/>
      <sheetName val="Молодежная 46"/>
      <sheetName val="Молодежная 48"/>
      <sheetName val="Солнечный бульвар 20"/>
      <sheetName val="Грабцевское шоссе 132 корп.1"/>
      <sheetName val="Гагарина 9"/>
      <sheetName val="Добровольского 14"/>
      <sheetName val="Чижевского 12"/>
      <sheetName val="Чижевского 23"/>
      <sheetName val="Болотникова 16"/>
      <sheetName val="Плеханова 2 к.2"/>
      <sheetName val="65 лет Победы 29"/>
      <sheetName val="Суворова 153 к.5"/>
      <sheetName val="Кооперативная1дробь2"/>
      <sheetName val="Парижской Коммуны,1а"/>
      <sheetName val="А.Королева 29"/>
      <sheetName val="Калинина 15"/>
      <sheetName val="Грабцевское шоссе,77"/>
      <sheetName val="Грабцевское шоссе,78"/>
      <sheetName val="Октябрьская,8"/>
      <sheetName val="А.Королева,27"/>
    </sheetNames>
    <sheetDataSet>
      <sheetData sheetId="0">
        <row r="35">
          <cell r="G35">
            <v>16448.12</v>
          </cell>
        </row>
        <row r="36">
          <cell r="G36">
            <v>-168997.99200000003</v>
          </cell>
        </row>
      </sheetData>
      <sheetData sheetId="1">
        <row r="34">
          <cell r="G34">
            <v>34925.52</v>
          </cell>
        </row>
        <row r="35">
          <cell r="G35">
            <v>411995.1868999999</v>
          </cell>
        </row>
      </sheetData>
      <sheetData sheetId="2">
        <row r="36">
          <cell r="G36">
            <v>-2309.7</v>
          </cell>
        </row>
        <row r="37">
          <cell r="G37">
            <v>-398.5487249999969</v>
          </cell>
        </row>
      </sheetData>
      <sheetData sheetId="3">
        <row r="35">
          <cell r="G35">
            <v>0</v>
          </cell>
        </row>
        <row r="36">
          <cell r="G36">
            <v>-21365.056675</v>
          </cell>
        </row>
      </sheetData>
      <sheetData sheetId="4">
        <row r="36">
          <cell r="G36">
            <v>21747.41</v>
          </cell>
        </row>
        <row r="37">
          <cell r="G37">
            <v>-57919.93750000001</v>
          </cell>
        </row>
      </sheetData>
      <sheetData sheetId="5">
        <row r="35">
          <cell r="G35">
            <v>94418.54999999999</v>
          </cell>
        </row>
        <row r="36">
          <cell r="G36">
            <v>426343.71609999996</v>
          </cell>
        </row>
      </sheetData>
      <sheetData sheetId="6">
        <row r="37">
          <cell r="G37">
            <v>-694755.44</v>
          </cell>
        </row>
        <row r="38">
          <cell r="G38">
            <v>-475859.05480000004</v>
          </cell>
        </row>
      </sheetData>
      <sheetData sheetId="7">
        <row r="36">
          <cell r="G36">
            <v>176110.85</v>
          </cell>
        </row>
        <row r="37">
          <cell r="G37">
            <v>304030.4606</v>
          </cell>
        </row>
      </sheetData>
      <sheetData sheetId="8">
        <row r="37">
          <cell r="G37">
            <v>23604.83</v>
          </cell>
        </row>
        <row r="38">
          <cell r="G38">
            <v>-109014.43519999998</v>
          </cell>
        </row>
      </sheetData>
      <sheetData sheetId="9">
        <row r="36">
          <cell r="G36">
            <v>87416.43000000001</v>
          </cell>
        </row>
        <row r="37">
          <cell r="G37">
            <v>632632.2732</v>
          </cell>
        </row>
      </sheetData>
      <sheetData sheetId="10">
        <row r="36">
          <cell r="G36">
            <v>27785.29</v>
          </cell>
        </row>
        <row r="37">
          <cell r="G37">
            <v>-113742.71999999997</v>
          </cell>
        </row>
      </sheetData>
      <sheetData sheetId="11">
        <row r="36">
          <cell r="G36">
            <v>22944.420000000002</v>
          </cell>
        </row>
        <row r="37">
          <cell r="G37">
            <v>51155.44989999999</v>
          </cell>
        </row>
      </sheetData>
      <sheetData sheetId="12">
        <row r="36">
          <cell r="G36">
            <v>15064.97</v>
          </cell>
        </row>
        <row r="37">
          <cell r="G37">
            <v>-158723.87280000004</v>
          </cell>
        </row>
      </sheetData>
      <sheetData sheetId="13">
        <row r="36">
          <cell r="G36">
            <v>20474.78</v>
          </cell>
        </row>
        <row r="37">
          <cell r="G37">
            <v>22965.521099999984</v>
          </cell>
        </row>
      </sheetData>
      <sheetData sheetId="14">
        <row r="36">
          <cell r="G36">
            <v>15589.809999999998</v>
          </cell>
        </row>
        <row r="37">
          <cell r="G37">
            <v>111479.10740000001</v>
          </cell>
        </row>
      </sheetData>
      <sheetData sheetId="15">
        <row r="36">
          <cell r="G36">
            <v>-64908.700000000004</v>
          </cell>
        </row>
        <row r="37">
          <cell r="G37">
            <v>-22568.35089999999</v>
          </cell>
        </row>
      </sheetData>
      <sheetData sheetId="16">
        <row r="36">
          <cell r="G36">
            <v>-5989.219999999999</v>
          </cell>
        </row>
        <row r="37">
          <cell r="G37">
            <v>-337566.5796</v>
          </cell>
        </row>
      </sheetData>
      <sheetData sheetId="17">
        <row r="37">
          <cell r="G37">
            <v>-39261.50999999999</v>
          </cell>
        </row>
        <row r="38">
          <cell r="G38">
            <v>116318.579</v>
          </cell>
        </row>
      </sheetData>
      <sheetData sheetId="18">
        <row r="35">
          <cell r="G35">
            <v>99543.7</v>
          </cell>
        </row>
        <row r="36">
          <cell r="G36">
            <v>20514.321400000023</v>
          </cell>
        </row>
      </sheetData>
      <sheetData sheetId="19">
        <row r="37">
          <cell r="G37">
            <v>-154266.30000000002</v>
          </cell>
        </row>
        <row r="38">
          <cell r="G38">
            <v>-1105446.8095999998</v>
          </cell>
        </row>
      </sheetData>
      <sheetData sheetId="20">
        <row r="37">
          <cell r="G37">
            <v>379377.09</v>
          </cell>
        </row>
        <row r="38">
          <cell r="G38">
            <v>414504.62159999995</v>
          </cell>
        </row>
      </sheetData>
      <sheetData sheetId="21">
        <row r="36">
          <cell r="G36">
            <v>28500.50999999998</v>
          </cell>
        </row>
        <row r="37">
          <cell r="G37">
            <v>-1444.6345999999949</v>
          </cell>
        </row>
      </sheetData>
      <sheetData sheetId="22">
        <row r="36">
          <cell r="G36">
            <v>24338.2</v>
          </cell>
        </row>
        <row r="37">
          <cell r="G37">
            <v>-70423.20420000001</v>
          </cell>
        </row>
      </sheetData>
      <sheetData sheetId="23">
        <row r="35">
          <cell r="G35">
            <v>13760.64</v>
          </cell>
        </row>
        <row r="36">
          <cell r="G36">
            <v>-137331.91400000002</v>
          </cell>
        </row>
      </sheetData>
      <sheetData sheetId="24">
        <row r="36">
          <cell r="G36">
            <v>5572.86</v>
          </cell>
        </row>
        <row r="37">
          <cell r="G37">
            <v>-23839.388400000007</v>
          </cell>
        </row>
      </sheetData>
      <sheetData sheetId="25">
        <row r="37">
          <cell r="G37">
            <v>38596.57</v>
          </cell>
        </row>
        <row r="38">
          <cell r="G38">
            <v>-192702.92889999997</v>
          </cell>
        </row>
      </sheetData>
      <sheetData sheetId="26">
        <row r="37">
          <cell r="G37">
            <v>21917.31</v>
          </cell>
        </row>
        <row r="38">
          <cell r="G38">
            <v>-218400.2095</v>
          </cell>
        </row>
      </sheetData>
      <sheetData sheetId="27">
        <row r="37">
          <cell r="G37">
            <v>0</v>
          </cell>
        </row>
        <row r="38">
          <cell r="G38">
            <v>35785.0747</v>
          </cell>
        </row>
      </sheetData>
      <sheetData sheetId="28">
        <row r="37">
          <cell r="G37">
            <v>24353.850000000002</v>
          </cell>
        </row>
        <row r="38">
          <cell r="G38">
            <v>-161555.66559999998</v>
          </cell>
        </row>
      </sheetData>
      <sheetData sheetId="29">
        <row r="36">
          <cell r="G36">
            <v>17055.13</v>
          </cell>
        </row>
        <row r="37">
          <cell r="G37">
            <v>203285.2591</v>
          </cell>
        </row>
      </sheetData>
      <sheetData sheetId="30">
        <row r="35">
          <cell r="G35">
            <v>2910.05</v>
          </cell>
        </row>
        <row r="36">
          <cell r="G36">
            <v>53609.46019999999</v>
          </cell>
        </row>
      </sheetData>
      <sheetData sheetId="31">
        <row r="36">
          <cell r="G36">
            <v>5697.05</v>
          </cell>
        </row>
        <row r="37">
          <cell r="G37">
            <v>-282682.44140000007</v>
          </cell>
        </row>
      </sheetData>
      <sheetData sheetId="32">
        <row r="36">
          <cell r="G36">
            <v>30752.97</v>
          </cell>
        </row>
        <row r="37">
          <cell r="G37">
            <v>-518320.19330000004</v>
          </cell>
        </row>
      </sheetData>
      <sheetData sheetId="33">
        <row r="36">
          <cell r="G36">
            <v>-7051.42</v>
          </cell>
        </row>
        <row r="37">
          <cell r="G37">
            <v>23315.743799999997</v>
          </cell>
        </row>
      </sheetData>
      <sheetData sheetId="34">
        <row r="34">
          <cell r="G34">
            <v>172760.02909999999</v>
          </cell>
        </row>
      </sheetData>
      <sheetData sheetId="35">
        <row r="36">
          <cell r="G36">
            <v>13862.08</v>
          </cell>
        </row>
        <row r="37">
          <cell r="G37">
            <v>28473.99530000001</v>
          </cell>
        </row>
      </sheetData>
      <sheetData sheetId="38">
        <row r="39">
          <cell r="G39">
            <v>-3318.67</v>
          </cell>
        </row>
        <row r="40">
          <cell r="G40">
            <v>-83048.49910000003</v>
          </cell>
        </row>
      </sheetData>
      <sheetData sheetId="39">
        <row r="36">
          <cell r="G36">
            <v>122834.34999999998</v>
          </cell>
        </row>
        <row r="37">
          <cell r="G37">
            <v>201302.0771</v>
          </cell>
        </row>
      </sheetData>
      <sheetData sheetId="40">
        <row r="35">
          <cell r="G35">
            <v>168818.6712</v>
          </cell>
        </row>
      </sheetData>
      <sheetData sheetId="41">
        <row r="35">
          <cell r="G35">
            <v>98174.2145</v>
          </cell>
        </row>
      </sheetData>
      <sheetData sheetId="42">
        <row r="36">
          <cell r="G36">
            <v>-7060.03</v>
          </cell>
        </row>
        <row r="37">
          <cell r="G37">
            <v>-264045.30069999996</v>
          </cell>
        </row>
      </sheetData>
      <sheetData sheetId="43">
        <row r="37">
          <cell r="G37">
            <v>13787.78</v>
          </cell>
        </row>
        <row r="38">
          <cell r="G38">
            <v>105575.96389999999</v>
          </cell>
        </row>
      </sheetData>
      <sheetData sheetId="44">
        <row r="36">
          <cell r="G36">
            <v>2116.6899999999932</v>
          </cell>
        </row>
        <row r="37">
          <cell r="G37">
            <v>-348805.4019</v>
          </cell>
        </row>
      </sheetData>
      <sheetData sheetId="45">
        <row r="36">
          <cell r="G36">
            <v>0</v>
          </cell>
        </row>
        <row r="37">
          <cell r="G37">
            <v>-98059.17730000002</v>
          </cell>
        </row>
      </sheetData>
      <sheetData sheetId="46">
        <row r="37">
          <cell r="G37">
            <v>0</v>
          </cell>
        </row>
        <row r="38">
          <cell r="G38">
            <v>-119505.06740000001</v>
          </cell>
        </row>
      </sheetData>
      <sheetData sheetId="47">
        <row r="35">
          <cell r="G35">
            <v>0</v>
          </cell>
        </row>
        <row r="36">
          <cell r="G36">
            <v>14871.728600000002</v>
          </cell>
        </row>
      </sheetData>
      <sheetData sheetId="49">
        <row r="36">
          <cell r="G36">
            <v>-105022.04</v>
          </cell>
        </row>
        <row r="37">
          <cell r="G37">
            <v>-114231.46990000003</v>
          </cell>
        </row>
      </sheetData>
      <sheetData sheetId="50">
        <row r="38">
          <cell r="G38">
            <v>218475.6870999998</v>
          </cell>
        </row>
      </sheetData>
      <sheetData sheetId="51">
        <row r="37">
          <cell r="G37">
            <v>-258931.84589999984</v>
          </cell>
        </row>
      </sheetData>
      <sheetData sheetId="52">
        <row r="37">
          <cell r="G37">
            <v>483852.2735999999</v>
          </cell>
        </row>
      </sheetData>
      <sheetData sheetId="53">
        <row r="38">
          <cell r="G38">
            <v>-1705.9699999999996</v>
          </cell>
        </row>
        <row r="39">
          <cell r="G39">
            <v>185442.2955</v>
          </cell>
        </row>
      </sheetData>
      <sheetData sheetId="54">
        <row r="36">
          <cell r="G36">
            <v>-110726.91830000003</v>
          </cell>
        </row>
      </sheetData>
      <sheetData sheetId="55">
        <row r="38">
          <cell r="G38">
            <v>-349272.9983</v>
          </cell>
        </row>
      </sheetData>
      <sheetData sheetId="56">
        <row r="35">
          <cell r="G35">
            <v>-15311.519999999997</v>
          </cell>
        </row>
        <row r="36">
          <cell r="G36">
            <v>281941.2581</v>
          </cell>
        </row>
      </sheetData>
      <sheetData sheetId="57">
        <row r="35">
          <cell r="G35">
            <v>-58651.75859999997</v>
          </cell>
        </row>
      </sheetData>
      <sheetData sheetId="58">
        <row r="34">
          <cell r="G34">
            <v>19416.506999999994</v>
          </cell>
        </row>
      </sheetData>
      <sheetData sheetId="59">
        <row r="34">
          <cell r="G34">
            <v>-133072.98240000004</v>
          </cell>
        </row>
      </sheetData>
      <sheetData sheetId="60">
        <row r="35">
          <cell r="G35">
            <v>6080.622200000001</v>
          </cell>
        </row>
      </sheetData>
      <sheetData sheetId="61">
        <row r="34">
          <cell r="G34">
            <v>-151965.74349999998</v>
          </cell>
        </row>
      </sheetData>
      <sheetData sheetId="62">
        <row r="34">
          <cell r="G34">
            <v>72556.7053</v>
          </cell>
        </row>
      </sheetData>
      <sheetData sheetId="63">
        <row r="34">
          <cell r="G34">
            <v>38693.0724</v>
          </cell>
        </row>
      </sheetData>
      <sheetData sheetId="64">
        <row r="33">
          <cell r="G33">
            <v>110124.88900000001</v>
          </cell>
        </row>
      </sheetData>
      <sheetData sheetId="65">
        <row r="34">
          <cell r="G34">
            <v>149670.4572</v>
          </cell>
        </row>
      </sheetData>
      <sheetData sheetId="66">
        <row r="34">
          <cell r="G34">
            <v>216233.44459999996</v>
          </cell>
        </row>
      </sheetData>
      <sheetData sheetId="67">
        <row r="34">
          <cell r="G34">
            <v>113131.62040000001</v>
          </cell>
        </row>
      </sheetData>
      <sheetData sheetId="68">
        <row r="34">
          <cell r="G34">
            <v>-5605.280899999983</v>
          </cell>
        </row>
      </sheetData>
      <sheetData sheetId="69">
        <row r="34">
          <cell r="G34">
            <v>487479.3439000001</v>
          </cell>
        </row>
      </sheetData>
      <sheetData sheetId="70">
        <row r="34">
          <cell r="G34">
            <v>169970.5383</v>
          </cell>
        </row>
      </sheetData>
      <sheetData sheetId="71">
        <row r="34">
          <cell r="G34">
            <v>417301.0436999999</v>
          </cell>
        </row>
      </sheetData>
      <sheetData sheetId="72">
        <row r="34">
          <cell r="G34">
            <v>65932.92469999999</v>
          </cell>
        </row>
      </sheetData>
      <sheetData sheetId="73">
        <row r="35">
          <cell r="G35">
            <v>179399.43509999997</v>
          </cell>
        </row>
      </sheetData>
      <sheetData sheetId="74">
        <row r="35">
          <cell r="G35">
            <v>150756.27699999997</v>
          </cell>
        </row>
      </sheetData>
      <sheetData sheetId="75">
        <row r="35">
          <cell r="G35">
            <v>219273.05800000002</v>
          </cell>
        </row>
      </sheetData>
      <sheetData sheetId="76">
        <row r="34">
          <cell r="G34">
            <v>-28398.148300000015</v>
          </cell>
        </row>
      </sheetData>
      <sheetData sheetId="77">
        <row r="34">
          <cell r="G34">
            <v>-319024.9312000001</v>
          </cell>
        </row>
      </sheetData>
      <sheetData sheetId="78">
        <row r="34">
          <cell r="G34">
            <v>24398.017700000008</v>
          </cell>
        </row>
      </sheetData>
      <sheetData sheetId="79">
        <row r="34">
          <cell r="G34">
            <v>-122692.05919999999</v>
          </cell>
        </row>
      </sheetData>
      <sheetData sheetId="80">
        <row r="34">
          <cell r="G34">
            <v>-62605.11230000001</v>
          </cell>
        </row>
      </sheetData>
      <sheetData sheetId="81">
        <row r="34">
          <cell r="G34">
            <v>-1134670.1203</v>
          </cell>
        </row>
      </sheetData>
      <sheetData sheetId="82">
        <row r="35">
          <cell r="G35">
            <v>16157.454999999987</v>
          </cell>
        </row>
      </sheetData>
      <sheetData sheetId="83">
        <row r="34">
          <cell r="G34">
            <v>137566.7041</v>
          </cell>
        </row>
      </sheetData>
      <sheetData sheetId="84">
        <row r="34">
          <cell r="G34">
            <v>-304877.6196</v>
          </cell>
        </row>
        <row r="35">
          <cell r="G35">
            <v>-52.68999999999755</v>
          </cell>
        </row>
      </sheetData>
      <sheetData sheetId="85">
        <row r="35">
          <cell r="G35">
            <v>219462.71670000034</v>
          </cell>
        </row>
      </sheetData>
      <sheetData sheetId="86">
        <row r="35">
          <cell r="G35">
            <v>674658.8825999999</v>
          </cell>
        </row>
      </sheetData>
      <sheetData sheetId="87">
        <row r="36">
          <cell r="G36">
            <v>76346.85230000001</v>
          </cell>
        </row>
        <row r="37">
          <cell r="G37">
            <v>311679.96999999986</v>
          </cell>
        </row>
      </sheetData>
      <sheetData sheetId="88">
        <row r="38">
          <cell r="G38">
            <v>-528831.879309329</v>
          </cell>
        </row>
        <row r="39">
          <cell r="G39">
            <v>372853.58999999985</v>
          </cell>
        </row>
      </sheetData>
      <sheetData sheetId="89">
        <row r="35">
          <cell r="G35">
            <v>67666.51790000002</v>
          </cell>
        </row>
      </sheetData>
      <sheetData sheetId="90">
        <row r="34">
          <cell r="G34">
            <v>-66948.8014</v>
          </cell>
        </row>
      </sheetData>
      <sheetData sheetId="91">
        <row r="34">
          <cell r="G34">
            <v>80065.02949999996</v>
          </cell>
        </row>
      </sheetData>
      <sheetData sheetId="92">
        <row r="35">
          <cell r="G35">
            <v>424165.09309999994</v>
          </cell>
        </row>
        <row r="36">
          <cell r="G36">
            <v>598276.99</v>
          </cell>
        </row>
      </sheetData>
      <sheetData sheetId="93">
        <row r="34">
          <cell r="G34">
            <v>53205.84170000002</v>
          </cell>
        </row>
      </sheetData>
      <sheetData sheetId="94">
        <row r="34">
          <cell r="G34">
            <v>-213019.8823</v>
          </cell>
        </row>
      </sheetData>
      <sheetData sheetId="95">
        <row r="36">
          <cell r="G36">
            <v>-769864.6280999999</v>
          </cell>
        </row>
      </sheetData>
      <sheetData sheetId="96">
        <row r="34">
          <cell r="G34">
            <v>-92429.01289999997</v>
          </cell>
        </row>
      </sheetData>
      <sheetData sheetId="97">
        <row r="34">
          <cell r="G34">
            <v>317845.0846</v>
          </cell>
        </row>
      </sheetData>
      <sheetData sheetId="98">
        <row r="34">
          <cell r="G34">
            <v>-93058.82780000001</v>
          </cell>
        </row>
      </sheetData>
      <sheetData sheetId="99">
        <row r="34">
          <cell r="G34">
            <v>-37379.3439</v>
          </cell>
        </row>
      </sheetData>
      <sheetData sheetId="101">
        <row r="34">
          <cell r="G34">
            <v>296255.89650000003</v>
          </cell>
        </row>
      </sheetData>
      <sheetData sheetId="102">
        <row r="34">
          <cell r="G34">
            <v>96782.70690000002</v>
          </cell>
        </row>
      </sheetData>
      <sheetData sheetId="103">
        <row r="35">
          <cell r="G35">
            <v>17282.4003</v>
          </cell>
        </row>
      </sheetData>
      <sheetData sheetId="104">
        <row r="34">
          <cell r="G34">
            <v>-23365.103599999988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P58"/>
  <sheetViews>
    <sheetView tabSelected="1" zoomScalePageLayoutView="0" workbookViewId="0" topLeftCell="A40">
      <selection activeCell="G50" sqref="G50"/>
    </sheetView>
  </sheetViews>
  <sheetFormatPr defaultColWidth="9.140625" defaultRowHeight="15" outlineLevelCol="2"/>
  <cols>
    <col min="1" max="1" width="5.8515625" style="57" customWidth="1"/>
    <col min="2" max="2" width="40.421875" style="57" customWidth="1"/>
    <col min="3" max="3" width="14.57421875" style="129" customWidth="1"/>
    <col min="4" max="4" width="14.8515625" style="57" customWidth="1"/>
    <col min="5" max="5" width="13.28125" style="57" customWidth="1"/>
    <col min="6" max="6" width="13.140625" style="57" customWidth="1"/>
    <col min="7" max="7" width="14.57421875" style="57" customWidth="1"/>
    <col min="8" max="9" width="11.57421875" style="57" hidden="1" customWidth="1" outlineLevel="2"/>
    <col min="10" max="10" width="10.140625" style="57" hidden="1" customWidth="1" outlineLevel="2"/>
    <col min="11" max="11" width="10.421875" style="57" hidden="1" customWidth="1" outlineLevel="2"/>
    <col min="12" max="13" width="9.140625" style="57" hidden="1" customWidth="1" outlineLevel="2"/>
    <col min="14" max="14" width="9.140625" style="57" hidden="1" customWidth="1" outlineLevel="1" collapsed="1"/>
    <col min="15" max="15" width="10.00390625" style="57" hidden="1" customWidth="1" outlineLevel="1"/>
    <col min="16" max="16" width="15.8515625" style="57" customWidth="1" collapsed="1"/>
    <col min="17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8" s="59" customFormat="1" ht="16.5" customHeight="1">
      <c r="A7" s="59" t="s">
        <v>2</v>
      </c>
      <c r="C7" s="130"/>
      <c r="F7" s="60" t="s">
        <v>53</v>
      </c>
      <c r="H7" s="60"/>
    </row>
    <row r="8" spans="1:8" s="59" customFormat="1" ht="12.75">
      <c r="A8" s="59" t="s">
        <v>3</v>
      </c>
      <c r="C8" s="130"/>
      <c r="F8" s="60" t="s">
        <v>132</v>
      </c>
      <c r="H8" s="60"/>
    </row>
    <row r="9" spans="1:11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9" s="67" customFormat="1" ht="6" customHeight="1" thickBot="1">
      <c r="A12" s="68"/>
      <c r="B12" s="68"/>
      <c r="C12" s="131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335</v>
      </c>
      <c r="B13" s="64"/>
      <c r="C13" s="132"/>
      <c r="D13" s="69"/>
      <c r="E13" s="70"/>
      <c r="F13" s="70"/>
      <c r="G13" s="65">
        <f>'[2]Телевизионная 2а'!$G$35</f>
        <v>16448.12</v>
      </c>
      <c r="H13" s="62"/>
      <c r="I13" s="62"/>
    </row>
    <row r="14" spans="1:9" s="67" customFormat="1" ht="15.75" thickBot="1">
      <c r="A14" s="63" t="s">
        <v>336</v>
      </c>
      <c r="B14" s="64"/>
      <c r="C14" s="132"/>
      <c r="D14" s="69"/>
      <c r="E14" s="70"/>
      <c r="F14" s="70"/>
      <c r="G14" s="65">
        <f>'[2]Телевизионная 2а'!$G$36</f>
        <v>-168997.99200000003</v>
      </c>
      <c r="H14" s="62"/>
      <c r="I14" s="62"/>
    </row>
    <row r="15" s="59" customFormat="1" ht="6.75" customHeight="1">
      <c r="C15" s="130"/>
    </row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</row>
    <row r="17" spans="1:16" s="79" customFormat="1" ht="14.25">
      <c r="A17" s="133" t="s">
        <v>14</v>
      </c>
      <c r="B17" s="134" t="s">
        <v>15</v>
      </c>
      <c r="C17" s="135">
        <v>13.84</v>
      </c>
      <c r="D17" s="76">
        <v>389153.78</v>
      </c>
      <c r="E17" s="76">
        <v>392086.02</v>
      </c>
      <c r="F17" s="76">
        <f aca="true" t="shared" si="0" ref="F17:F27">D17</f>
        <v>389153.78</v>
      </c>
      <c r="G17" s="77">
        <f>D17-E17</f>
        <v>-2932.2399999999907</v>
      </c>
      <c r="H17" s="136">
        <f aca="true" t="shared" si="1" ref="H17:H22">C17</f>
        <v>13.84</v>
      </c>
      <c r="O17" s="136"/>
      <c r="P17" s="137"/>
    </row>
    <row r="18" spans="1:9" s="59" customFormat="1" ht="15">
      <c r="A18" s="138" t="s">
        <v>16</v>
      </c>
      <c r="B18" s="139" t="s">
        <v>17</v>
      </c>
      <c r="C18" s="99">
        <v>3.46</v>
      </c>
      <c r="D18" s="83">
        <f>D17*I18</f>
        <v>97288.445</v>
      </c>
      <c r="E18" s="83">
        <f>E17*I18</f>
        <v>98021.505</v>
      </c>
      <c r="F18" s="83">
        <f t="shared" si="0"/>
        <v>97288.445</v>
      </c>
      <c r="G18" s="84">
        <f aca="true" t="shared" si="2" ref="G18:G32">D18-E18</f>
        <v>-733.0599999999977</v>
      </c>
      <c r="H18" s="78">
        <f t="shared" si="1"/>
        <v>3.46</v>
      </c>
      <c r="I18" s="59">
        <f>H18/H17</f>
        <v>0.25</v>
      </c>
    </row>
    <row r="19" spans="1:9" s="59" customFormat="1" ht="15">
      <c r="A19" s="138" t="s">
        <v>18</v>
      </c>
      <c r="B19" s="139" t="s">
        <v>19</v>
      </c>
      <c r="C19" s="99">
        <v>1.69</v>
      </c>
      <c r="D19" s="83">
        <f>D17*I19</f>
        <v>47519.50059248555</v>
      </c>
      <c r="E19" s="83">
        <f>E17*I19</f>
        <v>47877.555910404626</v>
      </c>
      <c r="F19" s="83">
        <f t="shared" si="0"/>
        <v>47519.50059248555</v>
      </c>
      <c r="G19" s="84">
        <f t="shared" si="2"/>
        <v>-358.0553179190756</v>
      </c>
      <c r="H19" s="78">
        <f t="shared" si="1"/>
        <v>1.69</v>
      </c>
      <c r="I19" s="59">
        <f>H19/H17</f>
        <v>0.12210982658959538</v>
      </c>
    </row>
    <row r="20" spans="1:9" s="59" customFormat="1" ht="15">
      <c r="A20" s="138" t="s">
        <v>20</v>
      </c>
      <c r="B20" s="139" t="s">
        <v>21</v>
      </c>
      <c r="C20" s="99">
        <v>2.15</v>
      </c>
      <c r="D20" s="83">
        <f>D17*I20</f>
        <v>60453.80252890174</v>
      </c>
      <c r="E20" s="83">
        <f>E17*I20</f>
        <v>60909.316690751446</v>
      </c>
      <c r="F20" s="83">
        <f t="shared" si="0"/>
        <v>60453.80252890174</v>
      </c>
      <c r="G20" s="84">
        <f t="shared" si="2"/>
        <v>-455.5141618497073</v>
      </c>
      <c r="H20" s="78">
        <f t="shared" si="1"/>
        <v>2.15</v>
      </c>
      <c r="I20" s="59">
        <f>H20/H17</f>
        <v>0.15534682080924855</v>
      </c>
    </row>
    <row r="21" spans="1:9" s="59" customFormat="1" ht="15">
      <c r="A21" s="138" t="s">
        <v>22</v>
      </c>
      <c r="B21" s="139" t="s">
        <v>23</v>
      </c>
      <c r="C21" s="99">
        <v>3.04</v>
      </c>
      <c r="D21" s="83">
        <f>D17*I21</f>
        <v>85478.86497109827</v>
      </c>
      <c r="E21" s="83">
        <f>E17*I21</f>
        <v>86122.94080924855</v>
      </c>
      <c r="F21" s="83">
        <f t="shared" si="0"/>
        <v>85478.86497109827</v>
      </c>
      <c r="G21" s="84">
        <f t="shared" si="2"/>
        <v>-644.0758381502819</v>
      </c>
      <c r="H21" s="78">
        <f t="shared" si="1"/>
        <v>3.04</v>
      </c>
      <c r="I21" s="59">
        <f>H21/H17</f>
        <v>0.21965317919075145</v>
      </c>
    </row>
    <row r="22" spans="1:9" s="59" customFormat="1" ht="15">
      <c r="A22" s="138" t="s">
        <v>24</v>
      </c>
      <c r="B22" s="139" t="s">
        <v>180</v>
      </c>
      <c r="C22" s="99">
        <v>3.5</v>
      </c>
      <c r="D22" s="83">
        <f>I22*D17</f>
        <v>98413.16690751447</v>
      </c>
      <c r="E22" s="83">
        <f>I22*E17</f>
        <v>99154.7015895954</v>
      </c>
      <c r="F22" s="83">
        <f>D22</f>
        <v>98413.16690751447</v>
      </c>
      <c r="G22" s="84">
        <f>D22-E22</f>
        <v>-741.5346820809209</v>
      </c>
      <c r="H22" s="78">
        <f t="shared" si="1"/>
        <v>3.5</v>
      </c>
      <c r="I22" s="59">
        <f>H22/H17</f>
        <v>0.25289017341040465</v>
      </c>
    </row>
    <row r="23" spans="1:7" s="88" customFormat="1" ht="15">
      <c r="A23" s="140" t="s">
        <v>25</v>
      </c>
      <c r="B23" s="140" t="s">
        <v>26</v>
      </c>
      <c r="C23" s="141">
        <v>0</v>
      </c>
      <c r="D23" s="83">
        <f>D17*I23</f>
        <v>0</v>
      </c>
      <c r="E23" s="83">
        <f>E19*I23</f>
        <v>0</v>
      </c>
      <c r="F23" s="83">
        <f>D23</f>
        <v>0</v>
      </c>
      <c r="G23" s="84">
        <f>D23-E23</f>
        <v>0</v>
      </c>
    </row>
    <row r="24" spans="1:7" s="88" customFormat="1" ht="14.25">
      <c r="A24" s="140" t="s">
        <v>27</v>
      </c>
      <c r="B24" s="140" t="s">
        <v>28</v>
      </c>
      <c r="C24" s="141">
        <v>0</v>
      </c>
      <c r="D24" s="87">
        <v>0</v>
      </c>
      <c r="E24" s="87"/>
      <c r="F24" s="87">
        <f t="shared" si="0"/>
        <v>0</v>
      </c>
      <c r="G24" s="77">
        <f t="shared" si="2"/>
        <v>0</v>
      </c>
    </row>
    <row r="25" spans="1:7" s="88" customFormat="1" ht="14.25">
      <c r="A25" s="140" t="s">
        <v>29</v>
      </c>
      <c r="B25" s="140" t="s">
        <v>161</v>
      </c>
      <c r="C25" s="141" t="s">
        <v>296</v>
      </c>
      <c r="D25" s="87"/>
      <c r="E25" s="87"/>
      <c r="F25" s="87">
        <f t="shared" si="0"/>
        <v>0</v>
      </c>
      <c r="G25" s="77">
        <f t="shared" si="2"/>
        <v>0</v>
      </c>
    </row>
    <row r="26" spans="1:7" s="88" customFormat="1" ht="14.25">
      <c r="A26" s="140" t="s">
        <v>31</v>
      </c>
      <c r="B26" s="140" t="s">
        <v>116</v>
      </c>
      <c r="C26" s="141">
        <v>2.06</v>
      </c>
      <c r="D26" s="87">
        <v>59800.32</v>
      </c>
      <c r="E26" s="87">
        <v>61520.52</v>
      </c>
      <c r="F26" s="87">
        <f>G42</f>
        <v>50670.8152</v>
      </c>
      <c r="G26" s="77">
        <f t="shared" si="2"/>
        <v>-1720.199999999997</v>
      </c>
    </row>
    <row r="27" spans="1:7" s="98" customFormat="1" ht="14.25">
      <c r="A27" s="134" t="s">
        <v>33</v>
      </c>
      <c r="B27" s="134" t="s">
        <v>34</v>
      </c>
      <c r="C27" s="142">
        <v>0</v>
      </c>
      <c r="D27" s="77">
        <v>0</v>
      </c>
      <c r="E27" s="77">
        <v>1104.85</v>
      </c>
      <c r="F27" s="87">
        <f t="shared" si="0"/>
        <v>0</v>
      </c>
      <c r="G27" s="77">
        <f t="shared" si="2"/>
        <v>-1104.85</v>
      </c>
    </row>
    <row r="28" spans="1:16" s="98" customFormat="1" ht="14.25">
      <c r="A28" s="134" t="s">
        <v>35</v>
      </c>
      <c r="B28" s="134" t="s">
        <v>36</v>
      </c>
      <c r="C28" s="135"/>
      <c r="D28" s="77">
        <f>SUM(D29:D32)</f>
        <v>1615062.1400000001</v>
      </c>
      <c r="E28" s="77">
        <f>SUM(E29:E32)</f>
        <v>1632032.2</v>
      </c>
      <c r="F28" s="77">
        <f>SUM(F29:F32)</f>
        <v>1615062.1400000001</v>
      </c>
      <c r="G28" s="77">
        <f t="shared" si="2"/>
        <v>-16970.059999999823</v>
      </c>
      <c r="P28" s="288"/>
    </row>
    <row r="29" spans="1:7" ht="15">
      <c r="A29" s="139" t="s">
        <v>37</v>
      </c>
      <c r="B29" s="34" t="s">
        <v>165</v>
      </c>
      <c r="C29" s="285">
        <v>6</v>
      </c>
      <c r="D29" s="287">
        <v>64341.47</v>
      </c>
      <c r="E29" s="287">
        <v>63363.13</v>
      </c>
      <c r="F29" s="287">
        <f>D29</f>
        <v>64341.47</v>
      </c>
      <c r="G29" s="84">
        <f>D29-E29</f>
        <v>978.3400000000038</v>
      </c>
    </row>
    <row r="30" spans="1:7" ht="15">
      <c r="A30" s="139" t="s">
        <v>39</v>
      </c>
      <c r="B30" s="34" t="s">
        <v>137</v>
      </c>
      <c r="C30" s="285">
        <v>57.08</v>
      </c>
      <c r="D30" s="287">
        <v>258257.81</v>
      </c>
      <c r="E30" s="287">
        <v>260485.61</v>
      </c>
      <c r="F30" s="287">
        <f>D30</f>
        <v>258257.81</v>
      </c>
      <c r="G30" s="84">
        <f t="shared" si="2"/>
        <v>-2227.7999999999884</v>
      </c>
    </row>
    <row r="31" spans="1:7" ht="15">
      <c r="A31" s="139" t="s">
        <v>42</v>
      </c>
      <c r="B31" s="139" t="s">
        <v>340</v>
      </c>
      <c r="C31" s="286">
        <v>211.65</v>
      </c>
      <c r="D31" s="287">
        <v>402564.51</v>
      </c>
      <c r="E31" s="287">
        <v>414541.1</v>
      </c>
      <c r="F31" s="287">
        <f>D31</f>
        <v>402564.51</v>
      </c>
      <c r="G31" s="84">
        <f t="shared" si="2"/>
        <v>-11976.589999999967</v>
      </c>
    </row>
    <row r="32" spans="1:7" ht="15">
      <c r="A32" s="139" t="s">
        <v>41</v>
      </c>
      <c r="B32" s="139" t="s">
        <v>43</v>
      </c>
      <c r="C32" s="285">
        <v>2638.8</v>
      </c>
      <c r="D32" s="287">
        <v>889898.35</v>
      </c>
      <c r="E32" s="287">
        <v>893642.36</v>
      </c>
      <c r="F32" s="287">
        <f>D32</f>
        <v>889898.35</v>
      </c>
      <c r="G32" s="84">
        <f t="shared" si="2"/>
        <v>-3744.0100000000093</v>
      </c>
    </row>
    <row r="33" spans="1:9" s="102" customFormat="1" ht="16.5" customHeight="1" thickBot="1">
      <c r="A33" s="446" t="s">
        <v>294</v>
      </c>
      <c r="B33" s="447"/>
      <c r="C33" s="447"/>
      <c r="D33" s="448"/>
      <c r="E33" s="448"/>
      <c r="F33" s="448"/>
      <c r="G33" s="101"/>
      <c r="H33" s="101"/>
      <c r="I33" s="101"/>
    </row>
    <row r="34" spans="1:9" s="67" customFormat="1" ht="15.75" thickBot="1">
      <c r="A34" s="455">
        <v>1418</v>
      </c>
      <c r="B34" s="456"/>
      <c r="C34" s="456"/>
      <c r="D34" s="65">
        <v>1418325.52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131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414</v>
      </c>
      <c r="B36" s="64"/>
      <c r="C36" s="132"/>
      <c r="D36" s="69"/>
      <c r="E36" s="70"/>
      <c r="F36" s="70"/>
      <c r="G36" s="144">
        <f>G13+E27-F27</f>
        <v>17552.969999999998</v>
      </c>
      <c r="H36" s="62"/>
      <c r="I36" s="62"/>
    </row>
    <row r="37" spans="1:16" s="67" customFormat="1" ht="15.75" thickBot="1">
      <c r="A37" s="63" t="s">
        <v>415</v>
      </c>
      <c r="B37" s="64"/>
      <c r="C37" s="132"/>
      <c r="D37" s="69"/>
      <c r="E37" s="70"/>
      <c r="F37" s="70"/>
      <c r="G37" s="144">
        <f>G14+E26-F26</f>
        <v>-158148.28720000002</v>
      </c>
      <c r="H37" s="62"/>
      <c r="I37" s="62"/>
      <c r="P37" s="145"/>
    </row>
    <row r="38" spans="1:13" s="102" customFormat="1" ht="9.75" customHeight="1">
      <c r="A38" s="104"/>
      <c r="B38" s="104"/>
      <c r="C38" s="146"/>
      <c r="D38" s="104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1:11" ht="23.25" customHeight="1">
      <c r="A39" s="444" t="s">
        <v>44</v>
      </c>
      <c r="B39" s="444"/>
      <c r="C39" s="444"/>
      <c r="D39" s="444"/>
      <c r="E39" s="444"/>
      <c r="F39" s="444"/>
      <c r="G39" s="444"/>
      <c r="H39" s="147"/>
      <c r="I39" s="147"/>
      <c r="J39" s="147"/>
      <c r="K39" s="147"/>
    </row>
    <row r="41" spans="1:12" s="74" customFormat="1" ht="37.5" customHeight="1">
      <c r="A41" s="72" t="s">
        <v>11</v>
      </c>
      <c r="B41" s="457" t="s">
        <v>45</v>
      </c>
      <c r="C41" s="458"/>
      <c r="D41" s="459"/>
      <c r="E41" s="72" t="s">
        <v>163</v>
      </c>
      <c r="F41" s="72" t="s">
        <v>162</v>
      </c>
      <c r="G41" s="72" t="s">
        <v>46</v>
      </c>
      <c r="L41" s="108"/>
    </row>
    <row r="42" spans="1:12" s="114" customFormat="1" ht="15" customHeight="1">
      <c r="A42" s="109" t="s">
        <v>47</v>
      </c>
      <c r="B42" s="452" t="s">
        <v>111</v>
      </c>
      <c r="C42" s="453"/>
      <c r="D42" s="454"/>
      <c r="E42" s="110"/>
      <c r="F42" s="110"/>
      <c r="G42" s="111">
        <f>SUM(G43:O50)</f>
        <v>50670.8152</v>
      </c>
      <c r="L42" s="115"/>
    </row>
    <row r="43" spans="1:12" ht="15.75" customHeight="1">
      <c r="A43" s="139" t="s">
        <v>16</v>
      </c>
      <c r="B43" s="440" t="s">
        <v>534</v>
      </c>
      <c r="C43" s="441"/>
      <c r="D43" s="442"/>
      <c r="E43" s="344" t="s">
        <v>216</v>
      </c>
      <c r="F43" s="342">
        <v>0.055</v>
      </c>
      <c r="G43" s="314">
        <v>11859.39</v>
      </c>
      <c r="L43" s="119"/>
    </row>
    <row r="44" spans="1:12" ht="22.5" customHeight="1">
      <c r="A44" s="139" t="s">
        <v>18</v>
      </c>
      <c r="B44" s="440" t="s">
        <v>326</v>
      </c>
      <c r="C44" s="441"/>
      <c r="D44" s="442"/>
      <c r="E44" s="381" t="s">
        <v>221</v>
      </c>
      <c r="F44" s="342"/>
      <c r="G44" s="314">
        <v>444</v>
      </c>
      <c r="L44" s="119"/>
    </row>
    <row r="45" spans="1:12" ht="27" customHeight="1">
      <c r="A45" s="139" t="s">
        <v>20</v>
      </c>
      <c r="B45" s="440" t="s">
        <v>326</v>
      </c>
      <c r="C45" s="441"/>
      <c r="D45" s="442"/>
      <c r="E45" s="381" t="s">
        <v>221</v>
      </c>
      <c r="F45" s="342"/>
      <c r="G45" s="314">
        <v>1800</v>
      </c>
      <c r="L45" s="119"/>
    </row>
    <row r="46" spans="1:12" ht="25.5" customHeight="1">
      <c r="A46" s="139" t="s">
        <v>22</v>
      </c>
      <c r="B46" s="440" t="s">
        <v>326</v>
      </c>
      <c r="C46" s="441"/>
      <c r="D46" s="442"/>
      <c r="E46" s="381" t="s">
        <v>221</v>
      </c>
      <c r="F46" s="342"/>
      <c r="G46" s="314">
        <v>1530</v>
      </c>
      <c r="L46" s="119"/>
    </row>
    <row r="47" spans="1:12" ht="18" customHeight="1">
      <c r="A47" s="139" t="s">
        <v>24</v>
      </c>
      <c r="B47" s="440" t="s">
        <v>535</v>
      </c>
      <c r="C47" s="441"/>
      <c r="D47" s="442"/>
      <c r="E47" s="344" t="s">
        <v>216</v>
      </c>
      <c r="F47" s="342">
        <v>0.08</v>
      </c>
      <c r="G47" s="314">
        <v>11222.22</v>
      </c>
      <c r="L47" s="119"/>
    </row>
    <row r="48" spans="1:12" ht="15.75" customHeight="1">
      <c r="A48" s="139" t="s">
        <v>103</v>
      </c>
      <c r="B48" s="440" t="s">
        <v>536</v>
      </c>
      <c r="C48" s="441"/>
      <c r="D48" s="442"/>
      <c r="E48" s="344"/>
      <c r="F48" s="342"/>
      <c r="G48" s="314">
        <v>12000</v>
      </c>
      <c r="L48" s="119"/>
    </row>
    <row r="49" spans="1:12" ht="15.75" customHeight="1">
      <c r="A49" s="139" t="s">
        <v>104</v>
      </c>
      <c r="B49" s="449" t="s">
        <v>814</v>
      </c>
      <c r="C49" s="450"/>
      <c r="D49" s="451"/>
      <c r="E49" s="151" t="s">
        <v>391</v>
      </c>
      <c r="F49" s="152">
        <v>4</v>
      </c>
      <c r="G49" s="153">
        <v>11200</v>
      </c>
      <c r="L49" s="119"/>
    </row>
    <row r="50" spans="1:12" ht="15.75" customHeight="1">
      <c r="A50" s="139" t="s">
        <v>117</v>
      </c>
      <c r="B50" s="148" t="s">
        <v>187</v>
      </c>
      <c r="C50" s="149"/>
      <c r="D50" s="150"/>
      <c r="E50" s="151"/>
      <c r="F50" s="152"/>
      <c r="G50" s="153">
        <f>E26*1%</f>
        <v>615.2052</v>
      </c>
      <c r="L50" s="119"/>
    </row>
    <row r="51" spans="2:6" ht="13.5" customHeight="1">
      <c r="B51" s="154"/>
      <c r="D51" s="154"/>
      <c r="E51" s="154"/>
      <c r="F51" s="154"/>
    </row>
    <row r="52" spans="1:5" s="59" customFormat="1" ht="12.75">
      <c r="A52" s="59" t="s">
        <v>55</v>
      </c>
      <c r="C52" s="130" t="s">
        <v>49</v>
      </c>
      <c r="E52" s="59" t="s">
        <v>90</v>
      </c>
    </row>
    <row r="53" s="59" customFormat="1" ht="12.75">
      <c r="C53" s="130"/>
    </row>
    <row r="54" spans="3:6" s="67" customFormat="1" ht="15">
      <c r="C54" s="155"/>
      <c r="F54" s="126" t="s">
        <v>537</v>
      </c>
    </row>
    <row r="55" spans="1:3" s="59" customFormat="1" ht="9" customHeight="1">
      <c r="A55" s="59" t="s">
        <v>50</v>
      </c>
      <c r="C55" s="130"/>
    </row>
    <row r="56" spans="3:10" s="59" customFormat="1" ht="12.75">
      <c r="C56" s="130" t="s">
        <v>51</v>
      </c>
      <c r="G56" s="156"/>
      <c r="H56" s="156"/>
      <c r="I56" s="156"/>
      <c r="J56" s="156"/>
    </row>
    <row r="57" spans="3:9" s="59" customFormat="1" ht="12.75">
      <c r="C57" s="130"/>
      <c r="I57" s="59" t="s">
        <v>190</v>
      </c>
    </row>
    <row r="58" s="59" customFormat="1" ht="12.75">
      <c r="C58" s="130"/>
    </row>
  </sheetData>
  <sheetProtection/>
  <mergeCells count="19">
    <mergeCell ref="B49:D49"/>
    <mergeCell ref="B48:D48"/>
    <mergeCell ref="B42:D42"/>
    <mergeCell ref="B43:D43"/>
    <mergeCell ref="B47:D47"/>
    <mergeCell ref="A34:C34"/>
    <mergeCell ref="A39:G39"/>
    <mergeCell ref="B41:D41"/>
    <mergeCell ref="B44:D44"/>
    <mergeCell ref="B45:D45"/>
    <mergeCell ref="B46:D46"/>
    <mergeCell ref="A1:K1"/>
    <mergeCell ref="A2:K2"/>
    <mergeCell ref="A3:K3"/>
    <mergeCell ref="A5:K5"/>
    <mergeCell ref="A9:K9"/>
    <mergeCell ref="A33:F33"/>
    <mergeCell ref="A10:K10"/>
    <mergeCell ref="A11:K11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K54"/>
  <sheetViews>
    <sheetView zoomScalePageLayoutView="0" workbookViewId="0" topLeftCell="A41">
      <selection activeCell="M48" sqref="M48"/>
    </sheetView>
  </sheetViews>
  <sheetFormatPr defaultColWidth="9.140625" defaultRowHeight="15" outlineLevelCol="1"/>
  <cols>
    <col min="1" max="1" width="4.7109375" style="35" customWidth="1"/>
    <col min="2" max="2" width="47.7109375" style="35" customWidth="1"/>
    <col min="3" max="3" width="13.28125" style="35" customWidth="1"/>
    <col min="4" max="4" width="13.140625" style="35" customWidth="1"/>
    <col min="5" max="5" width="13.8515625" style="35" customWidth="1"/>
    <col min="6" max="6" width="13.710937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10.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7" spans="1:9" s="67" customFormat="1" ht="16.5" customHeight="1">
      <c r="A7" s="67" t="s">
        <v>2</v>
      </c>
      <c r="E7" s="126" t="s">
        <v>60</v>
      </c>
      <c r="I7" s="67" t="s">
        <v>500</v>
      </c>
    </row>
    <row r="8" spans="1:10" s="67" customFormat="1" ht="15">
      <c r="A8" s="67" t="s">
        <v>3</v>
      </c>
      <c r="E8" s="291" t="s">
        <v>423</v>
      </c>
      <c r="I8" s="307">
        <v>637.7</v>
      </c>
      <c r="J8" s="367">
        <v>2545.4</v>
      </c>
    </row>
    <row r="9" s="67" customFormat="1" ht="8.25" customHeight="1"/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'[2]Социалистическая 6'!$G$36</f>
        <v>87416.43000000001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'[2]Социалистическая 6'!$G$37</f>
        <v>632632.2732</v>
      </c>
      <c r="H15" s="62"/>
      <c r="I15" s="62"/>
    </row>
    <row r="16" s="67" customFormat="1" ht="7.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167" customFormat="1" ht="28.5">
      <c r="A18" s="75" t="s">
        <v>14</v>
      </c>
      <c r="B18" s="41" t="s">
        <v>15</v>
      </c>
      <c r="C18" s="135">
        <f>C19+C20+C21+C22</f>
        <v>10.34</v>
      </c>
      <c r="D18" s="76">
        <v>333797.53</v>
      </c>
      <c r="E18" s="76">
        <v>320427.45</v>
      </c>
      <c r="F18" s="76">
        <f>D18</f>
        <v>333797.53</v>
      </c>
      <c r="G18" s="77">
        <f>D18-E18</f>
        <v>13370.080000000016</v>
      </c>
      <c r="H18" s="78">
        <f>C18</f>
        <v>10.34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111696.2721276596</v>
      </c>
      <c r="E19" s="83">
        <f>E18*I19</f>
        <v>107222.33820116056</v>
      </c>
      <c r="F19" s="83">
        <f>D19</f>
        <v>111696.2721276596</v>
      </c>
      <c r="G19" s="84">
        <f>D19-E19</f>
        <v>4473.933926499041</v>
      </c>
      <c r="H19" s="78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54556.84968085106</v>
      </c>
      <c r="E20" s="83">
        <f>E18*I20</f>
        <v>52371.60449709864</v>
      </c>
      <c r="F20" s="83">
        <f>D20</f>
        <v>54556.84968085106</v>
      </c>
      <c r="G20" s="84">
        <f>D20-E20</f>
        <v>2185.2451837524204</v>
      </c>
      <c r="H20" s="78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69406.64308510639</v>
      </c>
      <c r="E21" s="83">
        <f>E18*I21</f>
        <v>66626.59743713733</v>
      </c>
      <c r="F21" s="83">
        <f>D21</f>
        <v>69406.64308510639</v>
      </c>
      <c r="G21" s="84">
        <f>D21-E21</f>
        <v>2780.045647969062</v>
      </c>
      <c r="H21" s="78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98137.76510638298</v>
      </c>
      <c r="E22" s="83">
        <f>E18*I22</f>
        <v>94206.90986460348</v>
      </c>
      <c r="F22" s="83">
        <f>D22</f>
        <v>98137.76510638298</v>
      </c>
      <c r="G22" s="84">
        <f>D22-E22</f>
        <v>3930.8552417795</v>
      </c>
      <c r="H22" s="78">
        <f>C22</f>
        <v>3.04</v>
      </c>
      <c r="I22" s="67">
        <f>H22/H18</f>
        <v>0.2940038684719536</v>
      </c>
    </row>
    <row r="23" spans="1:9" s="39" customFormat="1" ht="15">
      <c r="A23" s="81" t="s">
        <v>25</v>
      </c>
      <c r="B23" s="86" t="s">
        <v>462</v>
      </c>
      <c r="C23" s="141">
        <v>130</v>
      </c>
      <c r="D23" s="77">
        <v>74425</v>
      </c>
      <c r="E23" s="77">
        <v>68014.42</v>
      </c>
      <c r="F23" s="76">
        <f aca="true" t="shared" si="0" ref="F23:F32">D23</f>
        <v>74425</v>
      </c>
      <c r="G23" s="77">
        <f aca="true" t="shared" si="1" ref="G23:G32">D23-E23</f>
        <v>6410.580000000002</v>
      </c>
      <c r="H23" s="39">
        <f>64*130</f>
        <v>8320</v>
      </c>
      <c r="I23" s="357">
        <f>D23/H23</f>
        <v>8.9453125</v>
      </c>
    </row>
    <row r="24" spans="1:7" s="39" customFormat="1" ht="14.25">
      <c r="A24" s="41" t="s">
        <v>27</v>
      </c>
      <c r="B24" s="140" t="s">
        <v>28</v>
      </c>
      <c r="C24" s="141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s="39" customFormat="1" ht="14.25">
      <c r="A25" s="41" t="s">
        <v>29</v>
      </c>
      <c r="B25" s="140" t="s">
        <v>161</v>
      </c>
      <c r="C25" s="141">
        <v>12.54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7" s="39" customFormat="1" ht="14.25">
      <c r="A26" s="41" t="s">
        <v>31</v>
      </c>
      <c r="B26" s="140" t="s">
        <v>116</v>
      </c>
      <c r="C26" s="141">
        <v>10</v>
      </c>
      <c r="D26" s="77">
        <v>305445</v>
      </c>
      <c r="E26" s="77">
        <v>290975.82</v>
      </c>
      <c r="F26" s="76">
        <f>F43</f>
        <v>481770.79819999996</v>
      </c>
      <c r="G26" s="77">
        <f t="shared" si="1"/>
        <v>14469.179999999993</v>
      </c>
    </row>
    <row r="27" spans="1:7" s="39" customFormat="1" ht="14.25">
      <c r="A27" s="41" t="s">
        <v>33</v>
      </c>
      <c r="B27" s="134" t="s">
        <v>34</v>
      </c>
      <c r="C27" s="135">
        <v>0</v>
      </c>
      <c r="D27" s="77">
        <v>0</v>
      </c>
      <c r="E27" s="77">
        <v>399.56</v>
      </c>
      <c r="F27" s="76">
        <f>D27</f>
        <v>0</v>
      </c>
      <c r="G27" s="77">
        <f t="shared" si="1"/>
        <v>-399.56</v>
      </c>
    </row>
    <row r="28" spans="1:7" s="39" customFormat="1" ht="14.25">
      <c r="A28" s="41" t="s">
        <v>35</v>
      </c>
      <c r="B28" s="134" t="s">
        <v>36</v>
      </c>
      <c r="C28" s="135"/>
      <c r="D28" s="77">
        <f>SUM(D29:D32)</f>
        <v>2029679.72</v>
      </c>
      <c r="E28" s="77">
        <f>SUM(E29:E32)</f>
        <v>1958235.78</v>
      </c>
      <c r="F28" s="76">
        <f t="shared" si="0"/>
        <v>2029679.72</v>
      </c>
      <c r="G28" s="77">
        <f t="shared" si="1"/>
        <v>71443.93999999994</v>
      </c>
    </row>
    <row r="29" spans="1:7" ht="15">
      <c r="A29" s="34" t="s">
        <v>37</v>
      </c>
      <c r="B29" s="34" t="s">
        <v>165</v>
      </c>
      <c r="C29" s="285">
        <v>6</v>
      </c>
      <c r="D29" s="84">
        <v>44817.99</v>
      </c>
      <c r="E29" s="84">
        <v>42482.51</v>
      </c>
      <c r="F29" s="83">
        <f>D29</f>
        <v>44817.99</v>
      </c>
      <c r="G29" s="84">
        <f t="shared" si="1"/>
        <v>2335.479999999996</v>
      </c>
    </row>
    <row r="30" spans="1:7" ht="15">
      <c r="A30" s="34" t="s">
        <v>39</v>
      </c>
      <c r="B30" s="34" t="s">
        <v>137</v>
      </c>
      <c r="C30" s="285">
        <v>57.08</v>
      </c>
      <c r="D30" s="84">
        <v>347200.56</v>
      </c>
      <c r="E30" s="84">
        <v>344405.56</v>
      </c>
      <c r="F30" s="83">
        <f t="shared" si="0"/>
        <v>347200.56</v>
      </c>
      <c r="G30" s="84">
        <f t="shared" si="1"/>
        <v>2795</v>
      </c>
    </row>
    <row r="31" spans="1:7" ht="15">
      <c r="A31" s="34" t="s">
        <v>42</v>
      </c>
      <c r="B31" s="139" t="s">
        <v>340</v>
      </c>
      <c r="C31" s="286">
        <v>198.45</v>
      </c>
      <c r="D31" s="84">
        <v>528064.12</v>
      </c>
      <c r="E31" s="84">
        <v>515498.88</v>
      </c>
      <c r="F31" s="83">
        <f t="shared" si="0"/>
        <v>528064.12</v>
      </c>
      <c r="G31" s="84">
        <f t="shared" si="1"/>
        <v>12565.23999999999</v>
      </c>
    </row>
    <row r="32" spans="1:7" ht="15">
      <c r="A32" s="34" t="s">
        <v>41</v>
      </c>
      <c r="B32" s="34" t="s">
        <v>43</v>
      </c>
      <c r="C32" s="285">
        <v>2638.8</v>
      </c>
      <c r="D32" s="84">
        <v>1109597.05</v>
      </c>
      <c r="E32" s="84">
        <v>1055848.83</v>
      </c>
      <c r="F32" s="83">
        <f t="shared" si="0"/>
        <v>1109597.05</v>
      </c>
      <c r="G32" s="84">
        <f t="shared" si="1"/>
        <v>53748.21999999997</v>
      </c>
    </row>
    <row r="33" spans="1:10" s="102" customFormat="1" ht="18.75" customHeight="1" thickBot="1">
      <c r="A33" s="446" t="s">
        <v>294</v>
      </c>
      <c r="B33" s="447"/>
      <c r="C33" s="447"/>
      <c r="D33" s="448"/>
      <c r="E33" s="448"/>
      <c r="F33" s="448"/>
      <c r="G33" s="101"/>
      <c r="H33" s="101"/>
      <c r="I33" s="101"/>
      <c r="J33" s="101"/>
    </row>
    <row r="34" spans="1:9" s="67" customFormat="1" ht="15.75" thickBot="1">
      <c r="A34" s="455" t="s">
        <v>413</v>
      </c>
      <c r="B34" s="456"/>
      <c r="C34" s="456"/>
      <c r="D34" s="65">
        <v>916257.06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414</v>
      </c>
      <c r="B36" s="64"/>
      <c r="C36" s="64"/>
      <c r="D36" s="69"/>
      <c r="E36" s="70"/>
      <c r="F36" s="70"/>
      <c r="G36" s="144">
        <f>G14+E27-F27</f>
        <v>87815.99</v>
      </c>
      <c r="H36" s="62"/>
      <c r="I36" s="62"/>
    </row>
    <row r="37" spans="1:9" s="67" customFormat="1" ht="15.75" thickBot="1">
      <c r="A37" s="63" t="s">
        <v>415</v>
      </c>
      <c r="B37" s="64"/>
      <c r="C37" s="64"/>
      <c r="D37" s="69"/>
      <c r="E37" s="70"/>
      <c r="F37" s="70"/>
      <c r="G37" s="144">
        <f>G15+E26-F26</f>
        <v>441837.29500000004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2:5" ht="9" customHeight="1">
      <c r="B39" s="154"/>
      <c r="C39" s="154"/>
      <c r="D39" s="154"/>
      <c r="E39" s="154"/>
    </row>
    <row r="40" spans="1:9" ht="25.5" customHeight="1">
      <c r="A40" s="444" t="s">
        <v>44</v>
      </c>
      <c r="B40" s="444"/>
      <c r="C40" s="444"/>
      <c r="D40" s="444"/>
      <c r="E40" s="444"/>
      <c r="F40" s="444"/>
      <c r="G40" s="444"/>
      <c r="H40" s="444"/>
      <c r="I40" s="444"/>
    </row>
    <row r="41" ht="5.25" customHeight="1"/>
    <row r="42" spans="1:7" s="171" customFormat="1" ht="28.5" customHeight="1">
      <c r="A42" s="105" t="s">
        <v>11</v>
      </c>
      <c r="B42" s="471" t="s">
        <v>45</v>
      </c>
      <c r="C42" s="484"/>
      <c r="D42" s="105" t="s">
        <v>163</v>
      </c>
      <c r="E42" s="105" t="s">
        <v>162</v>
      </c>
      <c r="F42" s="471" t="s">
        <v>46</v>
      </c>
      <c r="G42" s="483"/>
    </row>
    <row r="43" spans="1:7" s="114" customFormat="1" ht="15" customHeight="1">
      <c r="A43" s="109" t="s">
        <v>47</v>
      </c>
      <c r="B43" s="473" t="s">
        <v>111</v>
      </c>
      <c r="C43" s="491"/>
      <c r="D43" s="172"/>
      <c r="E43" s="172"/>
      <c r="F43" s="496">
        <f>SUM(F44:G49)</f>
        <v>481770.79819999996</v>
      </c>
      <c r="G43" s="483"/>
    </row>
    <row r="44" spans="1:7" ht="15.75" customHeight="1">
      <c r="A44" s="34" t="s">
        <v>16</v>
      </c>
      <c r="B44" s="513" t="s">
        <v>558</v>
      </c>
      <c r="C44" s="514"/>
      <c r="D44" s="407" t="s">
        <v>216</v>
      </c>
      <c r="E44" s="407">
        <v>0.34</v>
      </c>
      <c r="F44" s="497">
        <v>87117.98</v>
      </c>
      <c r="G44" s="497"/>
    </row>
    <row r="45" spans="1:7" ht="15.75" customHeight="1">
      <c r="A45" s="34" t="s">
        <v>18</v>
      </c>
      <c r="B45" s="513" t="s">
        <v>559</v>
      </c>
      <c r="C45" s="514"/>
      <c r="D45" s="407" t="s">
        <v>216</v>
      </c>
      <c r="E45" s="407">
        <v>0.94</v>
      </c>
      <c r="F45" s="497">
        <v>250184.21</v>
      </c>
      <c r="G45" s="497"/>
    </row>
    <row r="46" spans="1:7" ht="15.75" customHeight="1">
      <c r="A46" s="34" t="s">
        <v>20</v>
      </c>
      <c r="B46" s="513" t="s">
        <v>558</v>
      </c>
      <c r="C46" s="514"/>
      <c r="D46" s="407" t="s">
        <v>216</v>
      </c>
      <c r="E46" s="407">
        <v>0.6</v>
      </c>
      <c r="F46" s="497">
        <v>76823.74</v>
      </c>
      <c r="G46" s="497"/>
    </row>
    <row r="47" spans="1:7" ht="15.75" customHeight="1">
      <c r="A47" s="34" t="s">
        <v>22</v>
      </c>
      <c r="B47" s="513" t="s">
        <v>560</v>
      </c>
      <c r="C47" s="514"/>
      <c r="D47" s="407" t="s">
        <v>216</v>
      </c>
      <c r="E47" s="407">
        <v>0.44</v>
      </c>
      <c r="F47" s="482">
        <v>50735.11</v>
      </c>
      <c r="G47" s="482"/>
    </row>
    <row r="48" spans="1:7" ht="15.75" customHeight="1">
      <c r="A48" s="34" t="s">
        <v>24</v>
      </c>
      <c r="B48" s="449" t="s">
        <v>814</v>
      </c>
      <c r="C48" s="641"/>
      <c r="D48" s="151" t="s">
        <v>391</v>
      </c>
      <c r="E48" s="151">
        <v>5</v>
      </c>
      <c r="F48" s="490">
        <v>14000</v>
      </c>
      <c r="G48" s="490"/>
    </row>
    <row r="49" spans="1:7" ht="15.75" customHeight="1">
      <c r="A49" s="34" t="s">
        <v>103</v>
      </c>
      <c r="B49" s="511" t="s">
        <v>188</v>
      </c>
      <c r="C49" s="512"/>
      <c r="D49" s="190"/>
      <c r="E49" s="190"/>
      <c r="F49" s="495">
        <f>E26*1%</f>
        <v>2909.7582</v>
      </c>
      <c r="G49" s="495"/>
    </row>
    <row r="50" s="67" customFormat="1" ht="15"/>
    <row r="51" spans="1:6" s="67" customFormat="1" ht="15">
      <c r="A51" s="67" t="s">
        <v>55</v>
      </c>
      <c r="C51" s="67" t="s">
        <v>49</v>
      </c>
      <c r="F51" s="67" t="s">
        <v>90</v>
      </c>
    </row>
    <row r="52" s="67" customFormat="1" ht="13.5" customHeight="1">
      <c r="F52" s="126" t="s">
        <v>545</v>
      </c>
    </row>
    <row r="53" s="67" customFormat="1" ht="15">
      <c r="A53" s="67" t="s">
        <v>50</v>
      </c>
    </row>
    <row r="54" spans="3:7" s="67" customFormat="1" ht="15">
      <c r="C54" s="128" t="s">
        <v>51</v>
      </c>
      <c r="E54" s="128"/>
      <c r="F54" s="128"/>
      <c r="G54" s="128"/>
    </row>
    <row r="55" s="67" customFormat="1" ht="15"/>
    <row r="56" s="67" customFormat="1" ht="15"/>
  </sheetData>
  <sheetProtection/>
  <mergeCells count="26">
    <mergeCell ref="F47:G47"/>
    <mergeCell ref="B48:C48"/>
    <mergeCell ref="F48:G48"/>
    <mergeCell ref="F49:G49"/>
    <mergeCell ref="F43:G43"/>
    <mergeCell ref="F44:G44"/>
    <mergeCell ref="B43:C43"/>
    <mergeCell ref="B44:C44"/>
    <mergeCell ref="B49:C49"/>
    <mergeCell ref="B45:C45"/>
    <mergeCell ref="A1:I1"/>
    <mergeCell ref="A2:I2"/>
    <mergeCell ref="A5:I5"/>
    <mergeCell ref="A10:I10"/>
    <mergeCell ref="A3:K3"/>
    <mergeCell ref="B47:C47"/>
    <mergeCell ref="F42:G42"/>
    <mergeCell ref="F46:G46"/>
    <mergeCell ref="A11:I11"/>
    <mergeCell ref="A40:I40"/>
    <mergeCell ref="A12:I12"/>
    <mergeCell ref="A34:C34"/>
    <mergeCell ref="A33:F33"/>
    <mergeCell ref="F45:G45"/>
    <mergeCell ref="B46:C46"/>
    <mergeCell ref="B42:C42"/>
  </mergeCells>
  <printOptions/>
  <pageMargins left="0" right="0" top="0" bottom="0" header="0.31496062992125984" footer="0.31496062992125984"/>
  <pageSetup horizontalDpi="600" verticalDpi="600" orientation="portrait" paperSize="9" scale="97"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7030A0"/>
  </sheetPr>
  <dimension ref="A1:O50"/>
  <sheetViews>
    <sheetView zoomScalePageLayoutView="0" workbookViewId="0" topLeftCell="A36">
      <selection activeCell="F44" sqref="F44:G4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2" width="9.140625" style="57" hidden="1" customWidth="1" outlineLevel="1"/>
    <col min="13" max="13" width="10.00390625" style="57" hidden="1" customWidth="1" outlineLevel="1"/>
    <col min="14" max="14" width="15.8515625" style="57" hidden="1" customWidth="1" outlineLevel="1"/>
    <col min="15" max="15" width="9.140625" style="57" hidden="1" customWidth="1" outlineLevel="1"/>
    <col min="16" max="16" width="9.140625" style="57" customWidth="1" collapsed="1"/>
    <col min="17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10" s="59" customFormat="1" ht="16.5" customHeight="1">
      <c r="A7" s="59" t="s">
        <v>2</v>
      </c>
      <c r="F7" s="60" t="s">
        <v>242</v>
      </c>
      <c r="H7" s="60"/>
      <c r="I7" s="59" t="s">
        <v>259</v>
      </c>
      <c r="J7" s="59" t="s">
        <v>483</v>
      </c>
    </row>
    <row r="8" spans="1:10" s="59" customFormat="1" ht="12.75">
      <c r="A8" s="59" t="s">
        <v>3</v>
      </c>
      <c r="F8" s="301" t="s">
        <v>383</v>
      </c>
      <c r="H8" s="304">
        <f>I8+J8</f>
        <v>967.31</v>
      </c>
      <c r="I8" s="61">
        <f>330.3</f>
        <v>330.3</v>
      </c>
      <c r="J8" s="61">
        <v>637.01</v>
      </c>
    </row>
    <row r="9" spans="1:11" s="59" customFormat="1" ht="12.75">
      <c r="A9" s="251"/>
      <c r="B9" s="59" t="s">
        <v>507</v>
      </c>
      <c r="C9" s="251"/>
      <c r="D9" s="251"/>
      <c r="E9" s="251"/>
      <c r="F9" s="301" t="s">
        <v>776</v>
      </c>
      <c r="G9" s="251"/>
      <c r="H9" s="434"/>
      <c r="I9" s="251"/>
      <c r="J9" s="251"/>
      <c r="K9" s="251"/>
    </row>
    <row r="10" spans="1:11" s="59" customFormat="1" ht="12.7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11" s="59" customFormat="1" ht="12.7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431</v>
      </c>
      <c r="B14" s="64"/>
      <c r="C14" s="64"/>
      <c r="D14" s="69"/>
      <c r="E14" s="70"/>
      <c r="F14" s="70"/>
      <c r="G14" s="65">
        <f>'[2]А.Королева 29'!$G$34</f>
        <v>-37379.3439</v>
      </c>
      <c r="H14" s="62"/>
      <c r="I14" s="62"/>
    </row>
    <row r="15" s="59" customFormat="1" ht="6.75" customHeight="1"/>
    <row r="16" spans="1:12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  <c r="K16" s="74">
        <v>414.9</v>
      </c>
      <c r="L16" s="74">
        <f>637.01+330.3+640.1</f>
        <v>1607.4099999999999</v>
      </c>
    </row>
    <row r="17" spans="1:15" s="59" customFormat="1" ht="14.25">
      <c r="A17" s="75" t="s">
        <v>14</v>
      </c>
      <c r="B17" s="41" t="s">
        <v>15</v>
      </c>
      <c r="C17" s="97">
        <f>C18+C19+C20+C21</f>
        <v>10.350000000000001</v>
      </c>
      <c r="D17" s="76">
        <v>251477.42</v>
      </c>
      <c r="E17" s="76">
        <v>224096.76</v>
      </c>
      <c r="F17" s="76">
        <f aca="true" t="shared" si="0" ref="F17:F23">D17</f>
        <v>251477.42</v>
      </c>
      <c r="G17" s="77">
        <f>D17-E17</f>
        <v>27380.660000000003</v>
      </c>
      <c r="H17" s="78">
        <f>C17</f>
        <v>10.350000000000001</v>
      </c>
      <c r="I17" s="79"/>
      <c r="J17" s="79"/>
      <c r="K17" s="79">
        <v>10.39</v>
      </c>
      <c r="L17" s="79">
        <v>10.34</v>
      </c>
      <c r="M17" s="78">
        <f>(K17*K16)</f>
        <v>4310.811</v>
      </c>
      <c r="N17" s="80">
        <f>L17*L16</f>
        <v>16620.6194</v>
      </c>
      <c r="O17" s="80">
        <f>(M17+N17)/(K16+L16)</f>
        <v>10.350258071215588</v>
      </c>
    </row>
    <row r="18" spans="1:15" s="59" customFormat="1" ht="15">
      <c r="A18" s="81" t="s">
        <v>16</v>
      </c>
      <c r="B18" s="34" t="s">
        <v>17</v>
      </c>
      <c r="C18" s="82">
        <v>3.46</v>
      </c>
      <c r="D18" s="83">
        <f>D17*I18</f>
        <v>84068.78001932366</v>
      </c>
      <c r="E18" s="83">
        <f>E17*I18</f>
        <v>74915.43860869565</v>
      </c>
      <c r="F18" s="83">
        <f t="shared" si="0"/>
        <v>84068.78001932366</v>
      </c>
      <c r="G18" s="84">
        <f>D18-E18</f>
        <v>9153.34141062801</v>
      </c>
      <c r="H18" s="78">
        <f>C18</f>
        <v>3.46</v>
      </c>
      <c r="I18" s="59">
        <f>H18/H17</f>
        <v>0.3342995169082125</v>
      </c>
      <c r="K18" s="59">
        <v>3.46</v>
      </c>
      <c r="L18" s="59">
        <v>3.46</v>
      </c>
      <c r="M18" s="59">
        <f>K18*K16</f>
        <v>1435.5539999999999</v>
      </c>
      <c r="N18" s="59">
        <f>L18*L16</f>
        <v>5561.638599999999</v>
      </c>
      <c r="O18" s="59">
        <f>(M18+N18)/(K16+L16)</f>
        <v>3.46</v>
      </c>
    </row>
    <row r="19" spans="1:15" s="59" customFormat="1" ht="15">
      <c r="A19" s="81" t="s">
        <v>18</v>
      </c>
      <c r="B19" s="34" t="s">
        <v>19</v>
      </c>
      <c r="C19" s="82">
        <v>1.69</v>
      </c>
      <c r="D19" s="83">
        <f>D17*I19</f>
        <v>41062.49659903381</v>
      </c>
      <c r="E19" s="83">
        <f>E17*I19</f>
        <v>36591.644869565214</v>
      </c>
      <c r="F19" s="83">
        <f t="shared" si="0"/>
        <v>41062.49659903381</v>
      </c>
      <c r="G19" s="84">
        <f>D19-E19</f>
        <v>4470.851729468595</v>
      </c>
      <c r="H19" s="78">
        <f>C19</f>
        <v>1.69</v>
      </c>
      <c r="I19" s="59">
        <f>H19/H17</f>
        <v>0.16328502415458934</v>
      </c>
      <c r="K19" s="59">
        <v>1.69</v>
      </c>
      <c r="L19" s="59">
        <v>1.69</v>
      </c>
      <c r="M19" s="59">
        <f>K19*K16</f>
        <v>701.1809999999999</v>
      </c>
      <c r="N19" s="59">
        <f>L19*L16</f>
        <v>2716.5228999999995</v>
      </c>
      <c r="O19" s="59">
        <f>(M19+N19)/(K16+L16)</f>
        <v>1.6899999999999997</v>
      </c>
    </row>
    <row r="20" spans="1:15" s="59" customFormat="1" ht="15">
      <c r="A20" s="81" t="s">
        <v>20</v>
      </c>
      <c r="B20" s="34" t="s">
        <v>21</v>
      </c>
      <c r="C20" s="82">
        <v>2.16</v>
      </c>
      <c r="D20" s="83">
        <f>D17*I20</f>
        <v>52482.244173913045</v>
      </c>
      <c r="E20" s="83">
        <f>E17*I20</f>
        <v>46768.01947826087</v>
      </c>
      <c r="F20" s="83">
        <f t="shared" si="0"/>
        <v>52482.244173913045</v>
      </c>
      <c r="G20" s="84">
        <f>D20-E20</f>
        <v>5714.224695652178</v>
      </c>
      <c r="H20" s="78">
        <f>C20</f>
        <v>2.16</v>
      </c>
      <c r="I20" s="59">
        <f>H20/H17</f>
        <v>0.20869565217391303</v>
      </c>
      <c r="K20" s="59">
        <v>2.2</v>
      </c>
      <c r="L20" s="59">
        <v>2.15</v>
      </c>
      <c r="M20" s="59">
        <f>K20*K16</f>
        <v>912.78</v>
      </c>
      <c r="N20" s="59">
        <f>L20*L16</f>
        <v>3455.9314999999997</v>
      </c>
      <c r="O20" s="258">
        <f>(M20+N20)/(K16+L16)</f>
        <v>2.1602580712155897</v>
      </c>
    </row>
    <row r="21" spans="1:15" s="59" customFormat="1" ht="15">
      <c r="A21" s="81" t="s">
        <v>22</v>
      </c>
      <c r="B21" s="34" t="s">
        <v>23</v>
      </c>
      <c r="C21" s="82">
        <v>3.04</v>
      </c>
      <c r="D21" s="83">
        <f>D17*I21</f>
        <v>73863.89920772945</v>
      </c>
      <c r="E21" s="83">
        <f>E17*I21</f>
        <v>65821.65704347825</v>
      </c>
      <c r="F21" s="83">
        <f t="shared" si="0"/>
        <v>73863.89920772945</v>
      </c>
      <c r="G21" s="84">
        <f>D21-E21</f>
        <v>8042.242164251205</v>
      </c>
      <c r="H21" s="78">
        <f>C21</f>
        <v>3.04</v>
      </c>
      <c r="I21" s="59">
        <f>H21/H17</f>
        <v>0.29371980676328496</v>
      </c>
      <c r="K21" s="59">
        <v>3.04</v>
      </c>
      <c r="L21" s="59">
        <v>3.04</v>
      </c>
      <c r="M21" s="59">
        <f>K21*K16</f>
        <v>1261.296</v>
      </c>
      <c r="N21" s="59">
        <f>L21*L16</f>
        <v>4886.5264</v>
      </c>
      <c r="O21" s="59">
        <f>(M21+N21)/(K16+L16)</f>
        <v>3.04</v>
      </c>
    </row>
    <row r="22" spans="1:11" s="89" customFormat="1" ht="14.25">
      <c r="A22" s="86" t="s">
        <v>25</v>
      </c>
      <c r="B22" s="86" t="s">
        <v>209</v>
      </c>
      <c r="C22" s="46">
        <v>0</v>
      </c>
      <c r="D22" s="87">
        <v>0</v>
      </c>
      <c r="E22" s="87">
        <v>0</v>
      </c>
      <c r="F22" s="87">
        <v>0</v>
      </c>
      <c r="G22" s="77">
        <f aca="true" t="shared" si="1" ref="G22:G31">D22-E22</f>
        <v>0</v>
      </c>
      <c r="H22" s="88"/>
      <c r="I22" s="88"/>
      <c r="J22" s="88"/>
      <c r="K22" s="88"/>
    </row>
    <row r="23" spans="1:11" s="89" customFormat="1" ht="14.25">
      <c r="A23" s="86" t="s">
        <v>27</v>
      </c>
      <c r="B23" s="86" t="s">
        <v>193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29</v>
      </c>
      <c r="B24" s="86" t="s">
        <v>26</v>
      </c>
      <c r="C24" s="46">
        <v>0</v>
      </c>
      <c r="D24" s="87">
        <v>0</v>
      </c>
      <c r="E24" s="87">
        <v>0</v>
      </c>
      <c r="F24" s="87">
        <v>0</v>
      </c>
      <c r="G24" s="77">
        <f t="shared" si="1"/>
        <v>0</v>
      </c>
      <c r="H24" s="88"/>
      <c r="I24" s="88"/>
      <c r="J24" s="88"/>
      <c r="K24" s="88"/>
    </row>
    <row r="25" spans="1:11" s="89" customFormat="1" ht="14.25">
      <c r="A25" s="86" t="s">
        <v>31</v>
      </c>
      <c r="B25" s="86" t="s">
        <v>116</v>
      </c>
      <c r="C25" s="95">
        <v>2.06</v>
      </c>
      <c r="D25" s="87">
        <v>49991.52</v>
      </c>
      <c r="E25" s="87">
        <v>43171.76</v>
      </c>
      <c r="F25" s="87">
        <f>F39</f>
        <v>33839.007600000004</v>
      </c>
      <c r="G25" s="77">
        <f t="shared" si="1"/>
        <v>6819.759999999995</v>
      </c>
      <c r="H25" s="88"/>
      <c r="I25" s="88"/>
      <c r="J25" s="88"/>
      <c r="K25" s="88"/>
    </row>
    <row r="26" spans="1:11" ht="14.25">
      <c r="A26" s="41" t="s">
        <v>33</v>
      </c>
      <c r="B26" s="41" t="s">
        <v>161</v>
      </c>
      <c r="C26" s="97">
        <v>12.54</v>
      </c>
      <c r="D26" s="77">
        <v>0</v>
      </c>
      <c r="E26" s="77">
        <v>0</v>
      </c>
      <c r="F26" s="87">
        <f>D26</f>
        <v>0</v>
      </c>
      <c r="G26" s="77">
        <f t="shared" si="1"/>
        <v>0</v>
      </c>
      <c r="H26" s="98"/>
      <c r="I26" s="98"/>
      <c r="J26" s="98"/>
      <c r="K26" s="98"/>
    </row>
    <row r="27" spans="1:11" ht="14.25">
      <c r="A27" s="41" t="s">
        <v>35</v>
      </c>
      <c r="B27" s="41" t="s">
        <v>36</v>
      </c>
      <c r="C27" s="97"/>
      <c r="D27" s="77">
        <f>SUM(D28:D31)</f>
        <v>47043.590000000004</v>
      </c>
      <c r="E27" s="77">
        <f>SUM(E28:E31)</f>
        <v>41892.29</v>
      </c>
      <c r="F27" s="77">
        <f>SUM(F28:F31)</f>
        <v>47043.590000000004</v>
      </c>
      <c r="G27" s="77">
        <f t="shared" si="1"/>
        <v>5151.300000000003</v>
      </c>
      <c r="H27" s="98"/>
      <c r="I27" s="98"/>
      <c r="J27" s="98"/>
      <c r="K27" s="98"/>
    </row>
    <row r="28" spans="1:7" ht="15">
      <c r="A28" s="34" t="s">
        <v>37</v>
      </c>
      <c r="B28" s="34" t="s">
        <v>165</v>
      </c>
      <c r="C28" s="285">
        <v>6</v>
      </c>
      <c r="D28" s="84">
        <v>21089.99</v>
      </c>
      <c r="E28" s="84">
        <v>19679.95</v>
      </c>
      <c r="F28" s="84">
        <f>D28</f>
        <v>21089.99</v>
      </c>
      <c r="G28" s="84">
        <f t="shared" si="1"/>
        <v>1410.0400000000009</v>
      </c>
    </row>
    <row r="29" spans="1:7" ht="15">
      <c r="A29" s="34" t="s">
        <v>39</v>
      </c>
      <c r="B29" s="34" t="s">
        <v>137</v>
      </c>
      <c r="C29" s="285">
        <v>57.08</v>
      </c>
      <c r="D29" s="84">
        <v>7143.36</v>
      </c>
      <c r="E29" s="84">
        <v>6076.07</v>
      </c>
      <c r="F29" s="84">
        <f>D29</f>
        <v>7143.36</v>
      </c>
      <c r="G29" s="84">
        <f t="shared" si="1"/>
        <v>1067.29</v>
      </c>
    </row>
    <row r="30" spans="1:7" ht="15">
      <c r="A30" s="34" t="s">
        <v>42</v>
      </c>
      <c r="B30" s="51" t="s">
        <v>340</v>
      </c>
      <c r="C30" s="286">
        <v>211.65</v>
      </c>
      <c r="D30" s="84">
        <v>18810.24</v>
      </c>
      <c r="E30" s="84">
        <v>16136.27</v>
      </c>
      <c r="F30" s="84">
        <f>D30</f>
        <v>18810.24</v>
      </c>
      <c r="G30" s="84">
        <f t="shared" si="1"/>
        <v>2673.970000000001</v>
      </c>
    </row>
    <row r="31" spans="1:7" s="272" customFormat="1" ht="15">
      <c r="A31" s="267" t="s">
        <v>41</v>
      </c>
      <c r="B31" s="267" t="s">
        <v>43</v>
      </c>
      <c r="C31" s="143">
        <v>0</v>
      </c>
      <c r="D31" s="210">
        <v>0</v>
      </c>
      <c r="E31" s="210">
        <v>0</v>
      </c>
      <c r="F31" s="210">
        <f>D31</f>
        <v>0</v>
      </c>
      <c r="G31" s="84">
        <f t="shared" si="1"/>
        <v>0</v>
      </c>
    </row>
    <row r="32" spans="1:9" s="102" customFormat="1" ht="19.5" customHeight="1" thickBot="1">
      <c r="A32" s="446" t="s">
        <v>294</v>
      </c>
      <c r="B32" s="447"/>
      <c r="C32" s="447"/>
      <c r="D32" s="448"/>
      <c r="E32" s="448"/>
      <c r="F32" s="448"/>
      <c r="G32" s="101"/>
      <c r="H32" s="101"/>
      <c r="I32" s="101"/>
    </row>
    <row r="33" spans="1:9" s="67" customFormat="1" ht="15.75" thickBot="1">
      <c r="A33" s="455" t="s">
        <v>413</v>
      </c>
      <c r="B33" s="456"/>
      <c r="C33" s="456"/>
      <c r="D33" s="280">
        <v>277285.67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415</v>
      </c>
      <c r="B35" s="64"/>
      <c r="C35" s="64"/>
      <c r="D35" s="69"/>
      <c r="E35" s="70"/>
      <c r="F35" s="70"/>
      <c r="G35" s="144">
        <f>G14+E25-F25</f>
        <v>-28046.591500000002</v>
      </c>
      <c r="H35" s="62"/>
      <c r="I35" s="62"/>
    </row>
    <row r="36" spans="1:11" ht="31.5" customHeight="1">
      <c r="A36" s="616" t="s">
        <v>179</v>
      </c>
      <c r="B36" s="617"/>
      <c r="C36" s="617"/>
      <c r="D36" s="617"/>
      <c r="E36" s="617"/>
      <c r="F36" s="617"/>
      <c r="G36" s="617"/>
      <c r="H36" s="58"/>
      <c r="I36" s="58"/>
      <c r="J36" s="58"/>
      <c r="K36" s="58"/>
    </row>
    <row r="38" spans="1:12" s="74" customFormat="1" ht="37.5" customHeight="1">
      <c r="A38" s="105" t="s">
        <v>11</v>
      </c>
      <c r="B38" s="471" t="s">
        <v>45</v>
      </c>
      <c r="C38" s="484"/>
      <c r="D38" s="105" t="s">
        <v>163</v>
      </c>
      <c r="E38" s="105" t="s">
        <v>162</v>
      </c>
      <c r="F38" s="471" t="s">
        <v>46</v>
      </c>
      <c r="G38" s="484"/>
      <c r="H38" s="244"/>
      <c r="I38" s="245"/>
      <c r="L38" s="108"/>
    </row>
    <row r="39" spans="1:12" s="114" customFormat="1" ht="15" customHeight="1">
      <c r="A39" s="109" t="s">
        <v>47</v>
      </c>
      <c r="B39" s="473" t="s">
        <v>111</v>
      </c>
      <c r="C39" s="491"/>
      <c r="D39" s="110"/>
      <c r="E39" s="110"/>
      <c r="F39" s="496">
        <f>SUM(F40:G44)</f>
        <v>33839.007600000004</v>
      </c>
      <c r="G39" s="483"/>
      <c r="H39" s="246"/>
      <c r="I39" s="247"/>
      <c r="L39" s="115"/>
    </row>
    <row r="40" spans="1:12" ht="26.25">
      <c r="A40" s="34" t="s">
        <v>16</v>
      </c>
      <c r="B40" s="462" t="s">
        <v>777</v>
      </c>
      <c r="C40" s="489"/>
      <c r="D40" s="337"/>
      <c r="E40" s="337" t="s">
        <v>221</v>
      </c>
      <c r="F40" s="624">
        <v>2250</v>
      </c>
      <c r="G40" s="625"/>
      <c r="H40" s="248"/>
      <c r="I40" s="249"/>
      <c r="L40" s="119"/>
    </row>
    <row r="41" spans="1:12" ht="15">
      <c r="A41" s="34" t="s">
        <v>18</v>
      </c>
      <c r="B41" s="462" t="s">
        <v>778</v>
      </c>
      <c r="C41" s="489"/>
      <c r="D41" s="337" t="s">
        <v>217</v>
      </c>
      <c r="E41" s="337">
        <v>0.01</v>
      </c>
      <c r="F41" s="624">
        <v>10757.29</v>
      </c>
      <c r="G41" s="625"/>
      <c r="H41" s="40"/>
      <c r="I41" s="40"/>
      <c r="L41" s="119"/>
    </row>
    <row r="42" spans="1:12" ht="15">
      <c r="A42" s="34" t="s">
        <v>20</v>
      </c>
      <c r="B42" s="462" t="s">
        <v>406</v>
      </c>
      <c r="C42" s="489"/>
      <c r="D42" s="337"/>
      <c r="E42" s="337"/>
      <c r="F42" s="624">
        <v>12000</v>
      </c>
      <c r="G42" s="625"/>
      <c r="H42" s="40"/>
      <c r="I42" s="40"/>
      <c r="L42" s="119"/>
    </row>
    <row r="43" spans="1:12" ht="15">
      <c r="A43" s="34" t="s">
        <v>22</v>
      </c>
      <c r="B43" s="449" t="s">
        <v>814</v>
      </c>
      <c r="C43" s="451"/>
      <c r="D43" s="118" t="s">
        <v>391</v>
      </c>
      <c r="E43" s="118">
        <v>3</v>
      </c>
      <c r="F43" s="523">
        <v>8400</v>
      </c>
      <c r="G43" s="524"/>
      <c r="H43" s="40"/>
      <c r="I43" s="40"/>
      <c r="L43" s="119"/>
    </row>
    <row r="44" spans="1:11" s="67" customFormat="1" ht="15">
      <c r="A44" s="34" t="s">
        <v>22</v>
      </c>
      <c r="B44" s="511" t="s">
        <v>188</v>
      </c>
      <c r="C44" s="512"/>
      <c r="D44" s="123"/>
      <c r="E44" s="123"/>
      <c r="F44" s="495">
        <f>E25*1%</f>
        <v>431.7176</v>
      </c>
      <c r="G44" s="495"/>
      <c r="H44" s="59"/>
      <c r="I44" s="59"/>
      <c r="J44" s="59"/>
      <c r="K44" s="59"/>
    </row>
    <row r="45" s="59" customFormat="1" ht="9" customHeight="1"/>
    <row r="46" spans="1:11" s="59" customFormat="1" ht="15">
      <c r="A46" s="67" t="s">
        <v>55</v>
      </c>
      <c r="B46" s="67"/>
      <c r="C46" s="125" t="s">
        <v>49</v>
      </c>
      <c r="D46" s="67"/>
      <c r="E46" s="67"/>
      <c r="F46" s="67" t="s">
        <v>90</v>
      </c>
      <c r="G46" s="67"/>
      <c r="H46" s="67"/>
      <c r="I46" s="67"/>
      <c r="J46" s="67"/>
      <c r="K46" s="67"/>
    </row>
    <row r="47" spans="1:7" s="59" customFormat="1" ht="15">
      <c r="A47" s="67"/>
      <c r="B47" s="67"/>
      <c r="C47" s="125"/>
      <c r="D47" s="67"/>
      <c r="E47" s="67"/>
      <c r="F47" s="126" t="s">
        <v>545</v>
      </c>
      <c r="G47" s="67"/>
    </row>
    <row r="48" spans="1:10" s="59" customFormat="1" ht="15">
      <c r="A48" s="67" t="s">
        <v>50</v>
      </c>
      <c r="B48" s="67"/>
      <c r="C48" s="125"/>
      <c r="D48" s="67"/>
      <c r="E48" s="67"/>
      <c r="F48" s="67"/>
      <c r="G48" s="67"/>
      <c r="H48" s="156"/>
      <c r="I48" s="156"/>
      <c r="J48" s="156"/>
    </row>
    <row r="49" spans="1:11" ht="15">
      <c r="A49" s="67"/>
      <c r="B49" s="67"/>
      <c r="C49" s="127" t="s">
        <v>51</v>
      </c>
      <c r="D49" s="67"/>
      <c r="E49" s="128"/>
      <c r="F49" s="128"/>
      <c r="G49" s="128"/>
      <c r="H49" s="59"/>
      <c r="I49" s="59"/>
      <c r="J49" s="59"/>
      <c r="K49" s="59"/>
    </row>
    <row r="50" spans="1:11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</row>
  </sheetData>
  <sheetProtection/>
  <mergeCells count="24">
    <mergeCell ref="B43:C43"/>
    <mergeCell ref="F43:G43"/>
    <mergeCell ref="B44:C44"/>
    <mergeCell ref="F44:G44"/>
    <mergeCell ref="B39:C39"/>
    <mergeCell ref="F39:G39"/>
    <mergeCell ref="B40:C40"/>
    <mergeCell ref="F40:G40"/>
    <mergeCell ref="B41:C41"/>
    <mergeCell ref="B42:C42"/>
    <mergeCell ref="F41:G41"/>
    <mergeCell ref="F42:G42"/>
    <mergeCell ref="A12:K12"/>
    <mergeCell ref="A33:C33"/>
    <mergeCell ref="B38:C38"/>
    <mergeCell ref="F38:G38"/>
    <mergeCell ref="A36:G36"/>
    <mergeCell ref="A32:F32"/>
    <mergeCell ref="A1:K1"/>
    <mergeCell ref="A2:K2"/>
    <mergeCell ref="A3:K3"/>
    <mergeCell ref="A5:K5"/>
    <mergeCell ref="A10:K10"/>
    <mergeCell ref="A11:K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7030A0"/>
  </sheetPr>
  <dimension ref="A1:T58"/>
  <sheetViews>
    <sheetView zoomScalePageLayoutView="0" workbookViewId="0" topLeftCell="A41">
      <selection activeCell="F52" sqref="F52:G52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8" s="59" customFormat="1" ht="16.5" customHeight="1">
      <c r="A7" s="59" t="s">
        <v>2</v>
      </c>
      <c r="F7" s="60" t="s">
        <v>215</v>
      </c>
      <c r="H7" s="60" t="s">
        <v>259</v>
      </c>
    </row>
    <row r="8" spans="1:10" s="59" customFormat="1" ht="12.75">
      <c r="A8" s="59" t="s">
        <v>3</v>
      </c>
      <c r="F8" s="301" t="s">
        <v>258</v>
      </c>
      <c r="H8" s="61">
        <v>68.4</v>
      </c>
      <c r="I8" s="61">
        <v>3606.9</v>
      </c>
      <c r="J8" s="61">
        <f>H8+I8</f>
        <v>3675.3</v>
      </c>
    </row>
    <row r="9" spans="2:10" s="59" customFormat="1" ht="12.75">
      <c r="B9" s="59" t="s">
        <v>507</v>
      </c>
      <c r="F9" s="301" t="s">
        <v>779</v>
      </c>
      <c r="H9" s="251"/>
      <c r="I9" s="251"/>
      <c r="J9" s="251"/>
    </row>
    <row r="10" spans="1:11" s="59" customFormat="1" ht="12.7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11" s="59" customFormat="1" ht="12.7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351</v>
      </c>
      <c r="B14" s="64"/>
      <c r="C14" s="64"/>
      <c r="D14" s="69"/>
      <c r="E14" s="70"/>
      <c r="F14" s="70"/>
      <c r="G14" s="305">
        <f>'[1]Калинина 15'!$G$34</f>
        <v>153807.3697</v>
      </c>
      <c r="H14" s="62"/>
      <c r="I14" s="297">
        <v>26824.08</v>
      </c>
    </row>
    <row r="15" s="59" customFormat="1" ht="15" customHeight="1">
      <c r="A15" s="59" t="s">
        <v>327</v>
      </c>
    </row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</row>
    <row r="17" spans="1:14" s="59" customFormat="1" ht="14.25">
      <c r="A17" s="75" t="s">
        <v>14</v>
      </c>
      <c r="B17" s="41" t="s">
        <v>15</v>
      </c>
      <c r="C17" s="97">
        <f>C18+C19+C20+C21+C22</f>
        <v>13.68</v>
      </c>
      <c r="D17" s="76">
        <v>590274.02</v>
      </c>
      <c r="E17" s="76">
        <v>521257.49</v>
      </c>
      <c r="F17" s="76">
        <f aca="true" t="shared" si="0" ref="F17:F22">D17</f>
        <v>590274.02</v>
      </c>
      <c r="G17" s="77">
        <f aca="true" t="shared" si="1" ref="G17:G22">D17-E17</f>
        <v>69016.53000000003</v>
      </c>
      <c r="H17" s="78">
        <f aca="true" t="shared" si="2" ref="H17:H22">C17</f>
        <v>13.68</v>
      </c>
      <c r="I17" s="79"/>
      <c r="J17" s="79"/>
      <c r="K17" s="79"/>
      <c r="M17" s="78"/>
      <c r="N17" s="80"/>
    </row>
    <row r="18" spans="1:9" s="59" customFormat="1" ht="15">
      <c r="A18" s="81" t="s">
        <v>16</v>
      </c>
      <c r="B18" s="34" t="s">
        <v>17</v>
      </c>
      <c r="C18" s="82">
        <v>3.46</v>
      </c>
      <c r="D18" s="83">
        <f>D17*I18</f>
        <v>149294.4524269006</v>
      </c>
      <c r="E18" s="83">
        <f>E17*I18</f>
        <v>131838.51720760236</v>
      </c>
      <c r="F18" s="83">
        <f t="shared" si="0"/>
        <v>149294.4524269006</v>
      </c>
      <c r="G18" s="84">
        <f t="shared" si="1"/>
        <v>17455.935219298233</v>
      </c>
      <c r="H18" s="78">
        <f t="shared" si="2"/>
        <v>3.46</v>
      </c>
      <c r="I18" s="59">
        <f>H18/H17</f>
        <v>0.25292397660818716</v>
      </c>
    </row>
    <row r="19" spans="1:9" s="59" customFormat="1" ht="15">
      <c r="A19" s="81" t="s">
        <v>18</v>
      </c>
      <c r="B19" s="34" t="s">
        <v>19</v>
      </c>
      <c r="C19" s="82">
        <v>1.69</v>
      </c>
      <c r="D19" s="83">
        <f>D17*I19</f>
        <v>72921.27878654971</v>
      </c>
      <c r="E19" s="83">
        <f>E17*I19</f>
        <v>64395.11389619883</v>
      </c>
      <c r="F19" s="83">
        <f t="shared" si="0"/>
        <v>72921.27878654971</v>
      </c>
      <c r="G19" s="84">
        <f t="shared" si="1"/>
        <v>8526.164890350876</v>
      </c>
      <c r="H19" s="78">
        <f t="shared" si="2"/>
        <v>1.69</v>
      </c>
      <c r="I19" s="59">
        <f>H19/H17</f>
        <v>0.12353801169590643</v>
      </c>
    </row>
    <row r="20" spans="1:9" s="59" customFormat="1" ht="15">
      <c r="A20" s="81" t="s">
        <v>20</v>
      </c>
      <c r="B20" s="34" t="s">
        <v>21</v>
      </c>
      <c r="C20" s="82">
        <v>1.99</v>
      </c>
      <c r="D20" s="83">
        <f>D17*I20</f>
        <v>85865.8844883041</v>
      </c>
      <c r="E20" s="83">
        <f>E17*I20</f>
        <v>75826.19920321637</v>
      </c>
      <c r="F20" s="83">
        <f t="shared" si="0"/>
        <v>85865.8844883041</v>
      </c>
      <c r="G20" s="84">
        <f t="shared" si="1"/>
        <v>10039.685285087733</v>
      </c>
      <c r="H20" s="78">
        <f t="shared" si="2"/>
        <v>1.99</v>
      </c>
      <c r="I20" s="59">
        <f>H20/H17</f>
        <v>0.14546783625730994</v>
      </c>
    </row>
    <row r="21" spans="1:9" s="59" customFormat="1" ht="15">
      <c r="A21" s="81" t="s">
        <v>22</v>
      </c>
      <c r="B21" s="34" t="s">
        <v>23</v>
      </c>
      <c r="C21" s="82">
        <v>3.04</v>
      </c>
      <c r="D21" s="83">
        <f>D17*I21</f>
        <v>131172.00444444446</v>
      </c>
      <c r="E21" s="83">
        <f>E17*I21</f>
        <v>115834.99777777778</v>
      </c>
      <c r="F21" s="83">
        <f t="shared" si="0"/>
        <v>131172.00444444446</v>
      </c>
      <c r="G21" s="84">
        <f t="shared" si="1"/>
        <v>15337.006666666683</v>
      </c>
      <c r="H21" s="78">
        <f t="shared" si="2"/>
        <v>3.04</v>
      </c>
      <c r="I21" s="59">
        <f>H21/H17</f>
        <v>0.22222222222222224</v>
      </c>
    </row>
    <row r="22" spans="1:9" s="59" customFormat="1" ht="15">
      <c r="A22" s="81" t="s">
        <v>24</v>
      </c>
      <c r="B22" s="34" t="s">
        <v>143</v>
      </c>
      <c r="C22" s="82">
        <v>3.5</v>
      </c>
      <c r="D22" s="83">
        <f>I22*D17</f>
        <v>151020.39985380118</v>
      </c>
      <c r="E22" s="83">
        <f>I22*E17</f>
        <v>133362.66191520466</v>
      </c>
      <c r="F22" s="83">
        <f t="shared" si="0"/>
        <v>151020.39985380118</v>
      </c>
      <c r="G22" s="84">
        <f t="shared" si="1"/>
        <v>17657.737938596518</v>
      </c>
      <c r="H22" s="78">
        <f t="shared" si="2"/>
        <v>3.5</v>
      </c>
      <c r="I22" s="59">
        <f>H22/H17</f>
        <v>0.25584795321637427</v>
      </c>
    </row>
    <row r="23" spans="1:11" s="89" customFormat="1" ht="14.25">
      <c r="A23" s="86" t="s">
        <v>25</v>
      </c>
      <c r="B23" s="86" t="s">
        <v>209</v>
      </c>
      <c r="C23" s="46">
        <v>0</v>
      </c>
      <c r="D23" s="87">
        <v>0</v>
      </c>
      <c r="E23" s="87">
        <v>0</v>
      </c>
      <c r="F23" s="87">
        <v>0</v>
      </c>
      <c r="G23" s="77">
        <f aca="true" t="shared" si="3" ref="G23:G31">D23-E23</f>
        <v>0</v>
      </c>
      <c r="H23" s="88"/>
      <c r="I23" s="88"/>
      <c r="J23" s="88"/>
      <c r="K23" s="88"/>
    </row>
    <row r="24" spans="1:11" s="89" customFormat="1" ht="14.25">
      <c r="A24" s="86" t="s">
        <v>27</v>
      </c>
      <c r="B24" s="86" t="s">
        <v>320</v>
      </c>
      <c r="C24" s="46">
        <v>87</v>
      </c>
      <c r="D24" s="87"/>
      <c r="E24" s="87">
        <v>16179.26</v>
      </c>
      <c r="F24" s="87">
        <v>0</v>
      </c>
      <c r="G24" s="77">
        <f t="shared" si="3"/>
        <v>-16179.26</v>
      </c>
      <c r="H24" s="88"/>
      <c r="I24" s="88"/>
      <c r="J24" s="88"/>
      <c r="K24" s="88"/>
    </row>
    <row r="25" spans="1:11" s="89" customFormat="1" ht="14.25">
      <c r="A25" s="86" t="s">
        <v>29</v>
      </c>
      <c r="B25" s="86" t="s">
        <v>26</v>
      </c>
      <c r="C25" s="46">
        <v>0</v>
      </c>
      <c r="D25" s="87">
        <v>0</v>
      </c>
      <c r="E25" s="87">
        <v>0</v>
      </c>
      <c r="F25" s="87">
        <v>0</v>
      </c>
      <c r="G25" s="77">
        <f t="shared" si="3"/>
        <v>0</v>
      </c>
      <c r="H25" s="88"/>
      <c r="I25" s="88"/>
      <c r="J25" s="88"/>
      <c r="K25" s="88"/>
    </row>
    <row r="26" spans="1:11" s="89" customFormat="1" ht="14.25">
      <c r="A26" s="86" t="s">
        <v>31</v>
      </c>
      <c r="B26" s="86" t="s">
        <v>116</v>
      </c>
      <c r="C26" s="95">
        <v>4</v>
      </c>
      <c r="D26" s="87">
        <v>172474.24</v>
      </c>
      <c r="E26" s="87">
        <v>153203.9</v>
      </c>
      <c r="F26" s="87">
        <f>F45-F24</f>
        <v>433287.87899999984</v>
      </c>
      <c r="G26" s="77">
        <f t="shared" si="3"/>
        <v>19270.339999999997</v>
      </c>
      <c r="H26" s="88"/>
      <c r="I26" s="88"/>
      <c r="J26" s="88"/>
      <c r="K26" s="88"/>
    </row>
    <row r="27" spans="1:11" ht="14.25">
      <c r="A27" s="41" t="s">
        <v>33</v>
      </c>
      <c r="B27" s="41" t="s">
        <v>161</v>
      </c>
      <c r="C27" s="97" t="s">
        <v>297</v>
      </c>
      <c r="D27" s="77">
        <v>0</v>
      </c>
      <c r="E27" s="77">
        <v>0</v>
      </c>
      <c r="F27" s="87">
        <f>D27</f>
        <v>0</v>
      </c>
      <c r="G27" s="77">
        <f t="shared" si="3"/>
        <v>0</v>
      </c>
      <c r="H27" s="98"/>
      <c r="I27" s="98"/>
      <c r="J27" s="98"/>
      <c r="K27" s="98"/>
    </row>
    <row r="28" spans="1:11" ht="14.25">
      <c r="A28" s="41" t="s">
        <v>35</v>
      </c>
      <c r="B28" s="41" t="s">
        <v>36</v>
      </c>
      <c r="C28" s="97"/>
      <c r="D28" s="77">
        <f>SUM(D29:D32)</f>
        <v>1078926.14</v>
      </c>
      <c r="E28" s="77">
        <f>SUM(E29:E32)</f>
        <v>923787.51</v>
      </c>
      <c r="F28" s="77">
        <f>SUM(F29:F32)</f>
        <v>1078926.14</v>
      </c>
      <c r="G28" s="77">
        <f>SUM(G29:G32)</f>
        <v>155138.63</v>
      </c>
      <c r="H28" s="98"/>
      <c r="I28" s="98"/>
      <c r="J28" s="98"/>
      <c r="K28" s="98"/>
    </row>
    <row r="29" spans="1:7" ht="15">
      <c r="A29" s="34" t="s">
        <v>37</v>
      </c>
      <c r="B29" s="34" t="s">
        <v>165</v>
      </c>
      <c r="C29" s="285">
        <v>4.2</v>
      </c>
      <c r="D29" s="84">
        <v>153955.1</v>
      </c>
      <c r="E29" s="84">
        <v>137206.91</v>
      </c>
      <c r="F29" s="84">
        <f>D29</f>
        <v>153955.1</v>
      </c>
      <c r="G29" s="84">
        <f t="shared" si="3"/>
        <v>16748.190000000002</v>
      </c>
    </row>
    <row r="30" spans="1:7" ht="15">
      <c r="A30" s="34" t="s">
        <v>39</v>
      </c>
      <c r="B30" s="34" t="s">
        <v>137</v>
      </c>
      <c r="C30" s="285">
        <v>57.08</v>
      </c>
      <c r="D30" s="84">
        <v>908590.63</v>
      </c>
      <c r="E30" s="84">
        <v>770577.24</v>
      </c>
      <c r="F30" s="84">
        <f>D30</f>
        <v>908590.63</v>
      </c>
      <c r="G30" s="84">
        <f t="shared" si="3"/>
        <v>138013.39</v>
      </c>
    </row>
    <row r="31" spans="1:7" ht="15">
      <c r="A31" s="34" t="s">
        <v>42</v>
      </c>
      <c r="B31" s="51" t="s">
        <v>340</v>
      </c>
      <c r="C31" s="286">
        <v>198.45</v>
      </c>
      <c r="D31" s="84">
        <v>16380.41</v>
      </c>
      <c r="E31" s="84">
        <v>16003.36</v>
      </c>
      <c r="F31" s="84">
        <f>D31</f>
        <v>16380.41</v>
      </c>
      <c r="G31" s="84">
        <f t="shared" si="3"/>
        <v>377.0499999999993</v>
      </c>
    </row>
    <row r="32" spans="1:7" ht="15">
      <c r="A32" s="267" t="s">
        <v>41</v>
      </c>
      <c r="B32" s="267" t="s">
        <v>43</v>
      </c>
      <c r="C32" s="143">
        <v>0</v>
      </c>
      <c r="D32" s="210">
        <v>0</v>
      </c>
      <c r="E32" s="210">
        <v>0</v>
      </c>
      <c r="F32" s="210">
        <f>D32</f>
        <v>0</v>
      </c>
      <c r="G32" s="84">
        <f>D32-E32</f>
        <v>0</v>
      </c>
    </row>
    <row r="33" spans="1:7" s="272" customFormat="1" ht="15">
      <c r="A33" s="374" t="s">
        <v>192</v>
      </c>
      <c r="B33" s="374" t="s">
        <v>275</v>
      </c>
      <c r="C33" s="286">
        <v>0</v>
      </c>
      <c r="D33" s="375">
        <f>12600+12600+24000</f>
        <v>49200</v>
      </c>
      <c r="E33" s="375">
        <f>15045+10942+11694</f>
        <v>37681</v>
      </c>
      <c r="F33" s="375">
        <v>0</v>
      </c>
      <c r="G33" s="287">
        <f>D33-E33</f>
        <v>11519</v>
      </c>
    </row>
    <row r="34" spans="1:7" s="272" customFormat="1" ht="15">
      <c r="A34" s="435"/>
      <c r="B34" s="435"/>
      <c r="C34" s="487" t="s">
        <v>557</v>
      </c>
      <c r="D34" s="488"/>
      <c r="E34" s="488"/>
      <c r="F34" s="488"/>
      <c r="G34" s="424">
        <f>E33-(E33*15%)</f>
        <v>32028.85</v>
      </c>
    </row>
    <row r="35" spans="1:9" s="102" customFormat="1" ht="20.25" customHeight="1" thickBot="1">
      <c r="A35" s="446" t="s">
        <v>294</v>
      </c>
      <c r="B35" s="447"/>
      <c r="C35" s="447"/>
      <c r="D35" s="448"/>
      <c r="E35" s="448"/>
      <c r="F35" s="448"/>
      <c r="G35" s="101"/>
      <c r="H35" s="101"/>
      <c r="I35" s="101"/>
    </row>
    <row r="36" spans="1:9" s="67" customFormat="1" ht="15.75" thickBot="1">
      <c r="A36" s="455" t="s">
        <v>413</v>
      </c>
      <c r="B36" s="456"/>
      <c r="C36" s="456"/>
      <c r="D36" s="305">
        <v>1368650.32</v>
      </c>
      <c r="E36" s="66"/>
      <c r="F36" s="66"/>
      <c r="G36" s="66"/>
      <c r="H36" s="62"/>
      <c r="I36" s="62"/>
    </row>
    <row r="37" spans="1:9" s="67" customFormat="1" ht="6" customHeight="1" thickBot="1">
      <c r="A37" s="68"/>
      <c r="B37" s="68"/>
      <c r="C37" s="68"/>
      <c r="D37" s="40"/>
      <c r="E37" s="66"/>
      <c r="F37" s="66"/>
      <c r="G37" s="66"/>
      <c r="H37" s="62"/>
      <c r="I37" s="62"/>
    </row>
    <row r="38" spans="1:9" s="67" customFormat="1" ht="15.75" thickBot="1">
      <c r="A38" s="63" t="s">
        <v>415</v>
      </c>
      <c r="B38" s="64"/>
      <c r="C38" s="64"/>
      <c r="D38" s="69"/>
      <c r="E38" s="70"/>
      <c r="F38" s="70"/>
      <c r="G38" s="306">
        <f>G14+E26-F26+E24-F24</f>
        <v>-110097.34929999984</v>
      </c>
      <c r="H38" s="62"/>
      <c r="I38" s="62"/>
    </row>
    <row r="39" spans="1:9" s="67" customFormat="1" ht="15">
      <c r="A39" s="585" t="s">
        <v>322</v>
      </c>
      <c r="B39" s="586"/>
      <c r="C39" s="318"/>
      <c r="D39" s="318"/>
      <c r="E39" s="319"/>
      <c r="F39" s="319"/>
      <c r="G39" s="319"/>
      <c r="H39" s="62"/>
      <c r="I39" s="62"/>
    </row>
    <row r="40" spans="1:9" s="67" customFormat="1" ht="15">
      <c r="A40" s="517" t="s">
        <v>145</v>
      </c>
      <c r="B40" s="518"/>
      <c r="C40" s="311" t="s">
        <v>146</v>
      </c>
      <c r="D40" s="311" t="s">
        <v>147</v>
      </c>
      <c r="E40" s="312" t="s">
        <v>148</v>
      </c>
      <c r="F40" s="313" t="s">
        <v>149</v>
      </c>
      <c r="G40" s="312" t="s">
        <v>150</v>
      </c>
      <c r="H40" s="62"/>
      <c r="I40" s="62"/>
    </row>
    <row r="41" spans="1:20" s="67" customFormat="1" ht="15.75" thickBot="1">
      <c r="A41" s="519"/>
      <c r="B41" s="520"/>
      <c r="C41" s="294">
        <v>68.4</v>
      </c>
      <c r="D41" s="314">
        <f>E41/C41/12</f>
        <v>21.23605019493177</v>
      </c>
      <c r="E41" s="316">
        <v>17430.55</v>
      </c>
      <c r="F41" s="316">
        <v>17430.55</v>
      </c>
      <c r="G41" s="314">
        <f>E41-F41</f>
        <v>0</v>
      </c>
      <c r="H41" s="62"/>
      <c r="I41" s="62"/>
      <c r="N41" s="386"/>
      <c r="O41" s="386"/>
      <c r="P41" s="386"/>
      <c r="Q41" s="386"/>
      <c r="R41" s="386"/>
      <c r="S41" s="386"/>
      <c r="T41" s="386"/>
    </row>
    <row r="42" spans="1:20" ht="31.5" customHeight="1">
      <c r="A42" s="616" t="s">
        <v>179</v>
      </c>
      <c r="B42" s="617"/>
      <c r="C42" s="617"/>
      <c r="D42" s="617"/>
      <c r="E42" s="617"/>
      <c r="F42" s="617"/>
      <c r="G42" s="617"/>
      <c r="H42" s="58"/>
      <c r="I42" s="58"/>
      <c r="J42" s="58"/>
      <c r="K42" s="58"/>
      <c r="N42" s="643"/>
      <c r="O42" s="644"/>
      <c r="P42" s="318"/>
      <c r="Q42" s="318"/>
      <c r="R42" s="319"/>
      <c r="S42" s="319"/>
      <c r="T42" s="319"/>
    </row>
    <row r="43" spans="14:20" ht="12.75">
      <c r="N43" s="645"/>
      <c r="O43" s="645"/>
      <c r="P43" s="387"/>
      <c r="Q43" s="387"/>
      <c r="R43" s="322"/>
      <c r="S43" s="388"/>
      <c r="T43" s="322"/>
    </row>
    <row r="44" spans="1:20" s="74" customFormat="1" ht="37.5" customHeight="1">
      <c r="A44" s="105" t="s">
        <v>11</v>
      </c>
      <c r="B44" s="471" t="s">
        <v>45</v>
      </c>
      <c r="C44" s="484"/>
      <c r="D44" s="105" t="s">
        <v>163</v>
      </c>
      <c r="E44" s="105" t="s">
        <v>162</v>
      </c>
      <c r="F44" s="471" t="s">
        <v>46</v>
      </c>
      <c r="G44" s="484"/>
      <c r="H44" s="244"/>
      <c r="I44" s="245"/>
      <c r="L44" s="108"/>
      <c r="N44" s="645"/>
      <c r="O44" s="645"/>
      <c r="P44" s="389"/>
      <c r="Q44" s="323"/>
      <c r="R44" s="390"/>
      <c r="S44" s="390"/>
      <c r="T44" s="323"/>
    </row>
    <row r="45" spans="1:12" s="114" customFormat="1" ht="15" customHeight="1">
      <c r="A45" s="109" t="s">
        <v>47</v>
      </c>
      <c r="B45" s="473" t="s">
        <v>111</v>
      </c>
      <c r="C45" s="491"/>
      <c r="D45" s="110"/>
      <c r="E45" s="110"/>
      <c r="F45" s="496">
        <f>SUM(F46:G52)</f>
        <v>433287.87899999984</v>
      </c>
      <c r="G45" s="483"/>
      <c r="H45" s="246"/>
      <c r="I45" s="247"/>
      <c r="L45" s="115"/>
    </row>
    <row r="46" spans="1:12" ht="15">
      <c r="A46" s="34" t="s">
        <v>16</v>
      </c>
      <c r="B46" s="462" t="s">
        <v>326</v>
      </c>
      <c r="C46" s="489"/>
      <c r="D46" s="337" t="s">
        <v>164</v>
      </c>
      <c r="E46" s="337"/>
      <c r="F46" s="624">
        <v>3090</v>
      </c>
      <c r="G46" s="625"/>
      <c r="H46" s="248"/>
      <c r="I46" s="249"/>
      <c r="L46" s="119"/>
    </row>
    <row r="47" spans="1:12" ht="15">
      <c r="A47" s="34" t="s">
        <v>18</v>
      </c>
      <c r="B47" s="462" t="s">
        <v>780</v>
      </c>
      <c r="C47" s="489"/>
      <c r="D47" s="337" t="s">
        <v>164</v>
      </c>
      <c r="E47" s="338"/>
      <c r="F47" s="525">
        <v>490859.35</v>
      </c>
      <c r="G47" s="526"/>
      <c r="H47" s="40"/>
      <c r="I47" s="40"/>
      <c r="L47" s="119"/>
    </row>
    <row r="48" spans="1:12" ht="15">
      <c r="A48" s="34" t="s">
        <v>20</v>
      </c>
      <c r="B48" s="462" t="s">
        <v>781</v>
      </c>
      <c r="C48" s="489"/>
      <c r="D48" s="337" t="s">
        <v>217</v>
      </c>
      <c r="E48" s="338">
        <v>0.05</v>
      </c>
      <c r="F48" s="525">
        <v>43658.06</v>
      </c>
      <c r="G48" s="526"/>
      <c r="H48" s="40"/>
      <c r="I48" s="40"/>
      <c r="L48" s="119"/>
    </row>
    <row r="49" spans="1:12" ht="15">
      <c r="A49" s="34" t="s">
        <v>22</v>
      </c>
      <c r="B49" s="646" t="s">
        <v>617</v>
      </c>
      <c r="C49" s="647"/>
      <c r="D49" s="124"/>
      <c r="E49" s="124"/>
      <c r="F49" s="624">
        <v>-36019.41</v>
      </c>
      <c r="G49" s="625"/>
      <c r="H49" s="40"/>
      <c r="I49" s="40"/>
      <c r="L49" s="119"/>
    </row>
    <row r="50" spans="1:12" ht="15">
      <c r="A50" s="34" t="s">
        <v>24</v>
      </c>
      <c r="B50" s="493" t="s">
        <v>328</v>
      </c>
      <c r="C50" s="494"/>
      <c r="D50" s="124"/>
      <c r="E50" s="436"/>
      <c r="F50" s="624">
        <v>-81032.16</v>
      </c>
      <c r="G50" s="625"/>
      <c r="H50" s="40"/>
      <c r="I50" s="40"/>
      <c r="L50" s="119"/>
    </row>
    <row r="51" spans="1:12" ht="17.25" customHeight="1">
      <c r="A51" s="34" t="s">
        <v>103</v>
      </c>
      <c r="B51" s="661" t="s">
        <v>814</v>
      </c>
      <c r="C51" s="662"/>
      <c r="D51" s="124" t="s">
        <v>391</v>
      </c>
      <c r="E51" s="124">
        <v>4</v>
      </c>
      <c r="F51" s="523">
        <v>11200</v>
      </c>
      <c r="G51" s="524"/>
      <c r="H51" s="40"/>
      <c r="I51" s="40"/>
      <c r="L51" s="119"/>
    </row>
    <row r="52" spans="1:11" s="67" customFormat="1" ht="15">
      <c r="A52" s="34" t="s">
        <v>104</v>
      </c>
      <c r="B52" s="511" t="s">
        <v>188</v>
      </c>
      <c r="C52" s="512"/>
      <c r="D52" s="123"/>
      <c r="E52" s="123"/>
      <c r="F52" s="495">
        <f>E26*1%</f>
        <v>1532.039</v>
      </c>
      <c r="G52" s="495"/>
      <c r="H52" s="59"/>
      <c r="I52" s="59"/>
      <c r="J52" s="59"/>
      <c r="K52" s="59"/>
    </row>
    <row r="53" s="59" customFormat="1" ht="9" customHeight="1"/>
    <row r="54" spans="1:11" s="59" customFormat="1" ht="15">
      <c r="A54" s="67" t="s">
        <v>55</v>
      </c>
      <c r="B54" s="67"/>
      <c r="C54" s="125" t="s">
        <v>49</v>
      </c>
      <c r="D54" s="67"/>
      <c r="E54" s="67"/>
      <c r="F54" s="67" t="s">
        <v>90</v>
      </c>
      <c r="G54" s="67"/>
      <c r="H54" s="67"/>
      <c r="I54" s="67"/>
      <c r="J54" s="67"/>
      <c r="K54" s="67"/>
    </row>
    <row r="55" spans="1:7" s="59" customFormat="1" ht="15">
      <c r="A55" s="67"/>
      <c r="B55" s="67"/>
      <c r="C55" s="125"/>
      <c r="D55" s="67"/>
      <c r="E55" s="67"/>
      <c r="F55" s="126" t="s">
        <v>545</v>
      </c>
      <c r="G55" s="67"/>
    </row>
    <row r="56" spans="1:10" s="59" customFormat="1" ht="15">
      <c r="A56" s="67" t="s">
        <v>50</v>
      </c>
      <c r="B56" s="67"/>
      <c r="C56" s="125"/>
      <c r="D56" s="67"/>
      <c r="E56" s="67"/>
      <c r="F56" s="67"/>
      <c r="G56" s="67"/>
      <c r="H56" s="156"/>
      <c r="I56" s="156"/>
      <c r="J56" s="156"/>
    </row>
    <row r="57" spans="1:11" ht="15">
      <c r="A57" s="67"/>
      <c r="B57" s="67"/>
      <c r="C57" s="127" t="s">
        <v>51</v>
      </c>
      <c r="D57" s="67"/>
      <c r="E57" s="128"/>
      <c r="F57" s="128"/>
      <c r="G57" s="128"/>
      <c r="H57" s="59"/>
      <c r="I57" s="59"/>
      <c r="J57" s="59"/>
      <c r="K57" s="59"/>
    </row>
    <row r="58" spans="1:11" ht="12.7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</row>
  </sheetData>
  <sheetProtection/>
  <mergeCells count="33">
    <mergeCell ref="N42:O42"/>
    <mergeCell ref="N43:O44"/>
    <mergeCell ref="A39:B39"/>
    <mergeCell ref="A40:B41"/>
    <mergeCell ref="B49:C49"/>
    <mergeCell ref="B51:C51"/>
    <mergeCell ref="F49:G49"/>
    <mergeCell ref="F51:G51"/>
    <mergeCell ref="F50:G50"/>
    <mergeCell ref="B50:C50"/>
    <mergeCell ref="B52:C52"/>
    <mergeCell ref="F52:G52"/>
    <mergeCell ref="B45:C45"/>
    <mergeCell ref="F45:G45"/>
    <mergeCell ref="B46:C46"/>
    <mergeCell ref="F46:G46"/>
    <mergeCell ref="B47:C47"/>
    <mergeCell ref="B48:C48"/>
    <mergeCell ref="F47:G47"/>
    <mergeCell ref="F48:G48"/>
    <mergeCell ref="A12:K12"/>
    <mergeCell ref="A36:C36"/>
    <mergeCell ref="B44:C44"/>
    <mergeCell ref="F44:G44"/>
    <mergeCell ref="A42:G42"/>
    <mergeCell ref="A35:F35"/>
    <mergeCell ref="C34:F34"/>
    <mergeCell ref="A1:K1"/>
    <mergeCell ref="A2:K2"/>
    <mergeCell ref="A3:K3"/>
    <mergeCell ref="A5:K5"/>
    <mergeCell ref="A10:K10"/>
    <mergeCell ref="A11:K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7030A0"/>
  </sheetPr>
  <dimension ref="A1:N52"/>
  <sheetViews>
    <sheetView zoomScalePageLayoutView="0" workbookViewId="0" topLeftCell="A35">
      <selection activeCell="A47" sqref="A47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8" s="59" customFormat="1" ht="16.5" customHeight="1">
      <c r="A7" s="59" t="s">
        <v>2</v>
      </c>
      <c r="F7" s="60" t="s">
        <v>318</v>
      </c>
      <c r="H7" s="60"/>
    </row>
    <row r="8" spans="1:10" s="59" customFormat="1" ht="12.75">
      <c r="A8" s="59" t="s">
        <v>3</v>
      </c>
      <c r="F8" s="301" t="s">
        <v>384</v>
      </c>
      <c r="H8" s="304">
        <f>I8+J8</f>
        <v>4611.8</v>
      </c>
      <c r="I8" s="61">
        <v>0</v>
      </c>
      <c r="J8" s="61">
        <v>4611.8</v>
      </c>
    </row>
    <row r="9" spans="1:11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431</v>
      </c>
      <c r="B13" s="64"/>
      <c r="C13" s="64"/>
      <c r="D13" s="69"/>
      <c r="E13" s="70"/>
      <c r="F13" s="70"/>
      <c r="G13" s="65">
        <f>'[2]Грабцевское шоссе,77'!$G$34</f>
        <v>296255.89650000003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4" s="59" customFormat="1" ht="14.25">
      <c r="A16" s="75" t="s">
        <v>14</v>
      </c>
      <c r="B16" s="41" t="s">
        <v>15</v>
      </c>
      <c r="C16" s="97">
        <f>C17+C18+C19+C20</f>
        <v>9.879999999999999</v>
      </c>
      <c r="D16" s="76">
        <v>546925.92</v>
      </c>
      <c r="E16" s="76">
        <v>548954.66</v>
      </c>
      <c r="F16" s="76">
        <f aca="true" t="shared" si="0" ref="F16:F22">D16</f>
        <v>546925.92</v>
      </c>
      <c r="G16" s="77">
        <f>D16-E16</f>
        <v>-2028.7399999999907</v>
      </c>
      <c r="H16" s="78">
        <f>C16</f>
        <v>9.879999999999999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191534.7857489879</v>
      </c>
      <c r="E17" s="83">
        <f>E16*I17</f>
        <v>192245.25542510123</v>
      </c>
      <c r="F17" s="83">
        <f t="shared" si="0"/>
        <v>191534.7857489879</v>
      </c>
      <c r="G17" s="84">
        <f>D17-E17</f>
        <v>-710.4696761133382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93553.11789473685</v>
      </c>
      <c r="E18" s="83">
        <f>E16*I18</f>
        <v>93900.13921052632</v>
      </c>
      <c r="F18" s="83">
        <f t="shared" si="0"/>
        <v>93553.11789473685</v>
      </c>
      <c r="G18" s="84">
        <f>D18-E18</f>
        <v>-347.0213157894759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82">
        <v>1.69</v>
      </c>
      <c r="D19" s="83">
        <f>D16*I19</f>
        <v>93553.11789473685</v>
      </c>
      <c r="E19" s="83">
        <f>E16*I19</f>
        <v>93900.13921052632</v>
      </c>
      <c r="F19" s="83">
        <f t="shared" si="0"/>
        <v>93553.11789473685</v>
      </c>
      <c r="G19" s="84">
        <f>D19-E19</f>
        <v>-347.0213157894759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168284.89846153848</v>
      </c>
      <c r="E20" s="83">
        <f>E16*I20</f>
        <v>168909.12615384618</v>
      </c>
      <c r="F20" s="83">
        <f t="shared" si="0"/>
        <v>168284.89846153848</v>
      </c>
      <c r="G20" s="84">
        <f>D20-E20</f>
        <v>-624.2276923077006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209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193</v>
      </c>
      <c r="C22" s="46">
        <v>3.5</v>
      </c>
      <c r="D22" s="87">
        <v>393694.8</v>
      </c>
      <c r="E22" s="87">
        <v>376703.77</v>
      </c>
      <c r="F22" s="87">
        <f t="shared" si="0"/>
        <v>393694.8</v>
      </c>
      <c r="G22" s="77">
        <f t="shared" si="1"/>
        <v>16991.02999999997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26</v>
      </c>
      <c r="C23" s="46">
        <v>0</v>
      </c>
      <c r="D23" s="87">
        <v>0</v>
      </c>
      <c r="E23" s="87">
        <v>0</v>
      </c>
      <c r="F23" s="87"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5</v>
      </c>
      <c r="D24" s="87">
        <v>276708</v>
      </c>
      <c r="E24" s="87">
        <v>274260.92</v>
      </c>
      <c r="F24" s="87">
        <f>F38</f>
        <v>115410.68920000001</v>
      </c>
      <c r="G24" s="77">
        <f t="shared" si="1"/>
        <v>2447.0800000000163</v>
      </c>
      <c r="H24" s="88"/>
      <c r="I24" s="88"/>
      <c r="J24" s="88"/>
      <c r="K24" s="88"/>
    </row>
    <row r="25" spans="1:11" ht="14.25">
      <c r="A25" s="41" t="s">
        <v>33</v>
      </c>
      <c r="B25" s="41" t="s">
        <v>161</v>
      </c>
      <c r="C25" s="97">
        <v>12.54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87958.64</v>
      </c>
      <c r="E26" s="77">
        <f>SUM(E27:E30)</f>
        <v>85407.05</v>
      </c>
      <c r="F26" s="77">
        <f>SUM(F27:F30)</f>
        <v>87958.64</v>
      </c>
      <c r="G26" s="77">
        <f t="shared" si="1"/>
        <v>2551.5899999999965</v>
      </c>
      <c r="H26" s="98"/>
      <c r="I26" s="98"/>
      <c r="J26" s="98"/>
      <c r="K26" s="98"/>
    </row>
    <row r="27" spans="1:7" ht="15">
      <c r="A27" s="34" t="s">
        <v>37</v>
      </c>
      <c r="B27" s="34" t="s">
        <v>165</v>
      </c>
      <c r="C27" s="285">
        <v>6</v>
      </c>
      <c r="D27" s="84">
        <v>70938.08</v>
      </c>
      <c r="E27" s="84">
        <v>68565.03</v>
      </c>
      <c r="F27" s="84">
        <f>D27</f>
        <v>70938.08</v>
      </c>
      <c r="G27" s="84">
        <f t="shared" si="1"/>
        <v>2373.050000000003</v>
      </c>
    </row>
    <row r="28" spans="1:7" ht="15">
      <c r="A28" s="34" t="s">
        <v>39</v>
      </c>
      <c r="B28" s="34" t="s">
        <v>137</v>
      </c>
      <c r="C28" s="285">
        <v>57.08</v>
      </c>
      <c r="D28" s="84">
        <v>17020.56</v>
      </c>
      <c r="E28" s="84">
        <v>16842.02</v>
      </c>
      <c r="F28" s="84">
        <f>D28</f>
        <v>17020.56</v>
      </c>
      <c r="G28" s="84">
        <f t="shared" si="1"/>
        <v>178.54000000000087</v>
      </c>
    </row>
    <row r="29" spans="1:7" ht="15">
      <c r="A29" s="34" t="s">
        <v>42</v>
      </c>
      <c r="B29" s="51" t="s">
        <v>40</v>
      </c>
      <c r="C29" s="286">
        <v>0</v>
      </c>
      <c r="D29" s="84">
        <v>0</v>
      </c>
      <c r="E29" s="84">
        <v>0</v>
      </c>
      <c r="F29" s="84">
        <v>0</v>
      </c>
      <c r="G29" s="84">
        <f t="shared" si="1"/>
        <v>0</v>
      </c>
    </row>
    <row r="30" spans="1:7" s="272" customFormat="1" ht="15">
      <c r="A30" s="267" t="s">
        <v>41</v>
      </c>
      <c r="B30" s="267" t="s">
        <v>43</v>
      </c>
      <c r="C30" s="143">
        <v>0</v>
      </c>
      <c r="D30" s="210">
        <v>0</v>
      </c>
      <c r="E30" s="210">
        <v>0</v>
      </c>
      <c r="F30" s="210">
        <f>D30</f>
        <v>0</v>
      </c>
      <c r="G30" s="84">
        <f t="shared" si="1"/>
        <v>0</v>
      </c>
    </row>
    <row r="31" spans="1:9" s="102" customFormat="1" ht="19.5" customHeight="1" thickBot="1">
      <c r="A31" s="446" t="s">
        <v>294</v>
      </c>
      <c r="B31" s="447"/>
      <c r="C31" s="447"/>
      <c r="D31" s="448"/>
      <c r="E31" s="448"/>
      <c r="F31" s="448"/>
      <c r="G31" s="101"/>
      <c r="H31" s="101"/>
      <c r="I31" s="101"/>
    </row>
    <row r="32" spans="1:9" s="67" customFormat="1" ht="15.75" thickBot="1">
      <c r="A32" s="455" t="s">
        <v>413</v>
      </c>
      <c r="B32" s="456"/>
      <c r="C32" s="456"/>
      <c r="D32" s="71">
        <v>219709.78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415</v>
      </c>
      <c r="B34" s="64"/>
      <c r="C34" s="64"/>
      <c r="D34" s="69"/>
      <c r="E34" s="70"/>
      <c r="F34" s="70"/>
      <c r="G34" s="306">
        <f>G13+E24-F24</f>
        <v>455106.12729999993</v>
      </c>
      <c r="H34" s="62"/>
      <c r="I34" s="62"/>
    </row>
    <row r="35" spans="1:11" ht="31.5" customHeight="1">
      <c r="A35" s="616" t="s">
        <v>179</v>
      </c>
      <c r="B35" s="617"/>
      <c r="C35" s="617"/>
      <c r="D35" s="617"/>
      <c r="E35" s="617"/>
      <c r="F35" s="617"/>
      <c r="G35" s="617"/>
      <c r="H35" s="58"/>
      <c r="I35" s="58"/>
      <c r="J35" s="58"/>
      <c r="K35" s="58"/>
    </row>
    <row r="37" spans="1:12" s="74" customFormat="1" ht="37.5" customHeight="1">
      <c r="A37" s="105" t="s">
        <v>11</v>
      </c>
      <c r="B37" s="471" t="s">
        <v>45</v>
      </c>
      <c r="C37" s="484"/>
      <c r="D37" s="105" t="s">
        <v>163</v>
      </c>
      <c r="E37" s="105" t="s">
        <v>162</v>
      </c>
      <c r="F37" s="471" t="s">
        <v>46</v>
      </c>
      <c r="G37" s="484"/>
      <c r="H37" s="244"/>
      <c r="I37" s="245"/>
      <c r="L37" s="108"/>
    </row>
    <row r="38" spans="1:12" s="114" customFormat="1" ht="15" customHeight="1">
      <c r="A38" s="109" t="s">
        <v>47</v>
      </c>
      <c r="B38" s="473" t="s">
        <v>111</v>
      </c>
      <c r="C38" s="491"/>
      <c r="D38" s="110"/>
      <c r="E38" s="110"/>
      <c r="F38" s="496">
        <f>SUM(F39:G46)</f>
        <v>115410.68920000001</v>
      </c>
      <c r="G38" s="483"/>
      <c r="H38" s="246"/>
      <c r="I38" s="247"/>
      <c r="L38" s="115"/>
    </row>
    <row r="39" spans="1:12" ht="15">
      <c r="A39" s="34" t="s">
        <v>16</v>
      </c>
      <c r="B39" s="462" t="s">
        <v>656</v>
      </c>
      <c r="C39" s="489"/>
      <c r="D39" s="337" t="s">
        <v>217</v>
      </c>
      <c r="E39" s="337">
        <v>0.02</v>
      </c>
      <c r="F39" s="497">
        <v>1421.32</v>
      </c>
      <c r="G39" s="497"/>
      <c r="H39" s="248"/>
      <c r="I39" s="249"/>
      <c r="L39" s="119"/>
    </row>
    <row r="40" spans="1:12" ht="15">
      <c r="A40" s="34" t="s">
        <v>18</v>
      </c>
      <c r="B40" s="462" t="s">
        <v>644</v>
      </c>
      <c r="C40" s="489"/>
      <c r="D40" s="337" t="s">
        <v>217</v>
      </c>
      <c r="E40" s="337">
        <v>0.04</v>
      </c>
      <c r="F40" s="497">
        <v>49337.45</v>
      </c>
      <c r="G40" s="497"/>
      <c r="H40" s="40"/>
      <c r="I40" s="40"/>
      <c r="L40" s="119"/>
    </row>
    <row r="41" spans="1:12" ht="15">
      <c r="A41" s="34" t="s">
        <v>20</v>
      </c>
      <c r="B41" s="462" t="s">
        <v>782</v>
      </c>
      <c r="C41" s="489"/>
      <c r="D41" s="337" t="s">
        <v>216</v>
      </c>
      <c r="E41" s="337">
        <v>0.3</v>
      </c>
      <c r="F41" s="497">
        <v>13542.15</v>
      </c>
      <c r="G41" s="497"/>
      <c r="H41" s="40"/>
      <c r="I41" s="40"/>
      <c r="L41" s="119"/>
    </row>
    <row r="42" spans="1:12" ht="15">
      <c r="A42" s="34" t="s">
        <v>22</v>
      </c>
      <c r="B42" s="462" t="s">
        <v>393</v>
      </c>
      <c r="C42" s="489"/>
      <c r="D42" s="337" t="s">
        <v>216</v>
      </c>
      <c r="E42" s="405">
        <v>0.005</v>
      </c>
      <c r="F42" s="497">
        <v>2321.3</v>
      </c>
      <c r="G42" s="497"/>
      <c r="H42" s="40"/>
      <c r="I42" s="40"/>
      <c r="L42" s="119"/>
    </row>
    <row r="43" spans="1:12" ht="15">
      <c r="A43" s="34" t="s">
        <v>24</v>
      </c>
      <c r="B43" s="462" t="s">
        <v>783</v>
      </c>
      <c r="C43" s="489"/>
      <c r="D43" s="403" t="s">
        <v>227</v>
      </c>
      <c r="E43" s="403">
        <v>2</v>
      </c>
      <c r="F43" s="497">
        <v>22845.86</v>
      </c>
      <c r="G43" s="497"/>
      <c r="H43" s="40"/>
      <c r="I43" s="40"/>
      <c r="L43" s="119"/>
    </row>
    <row r="44" spans="1:12" ht="15">
      <c r="A44" s="34" t="s">
        <v>103</v>
      </c>
      <c r="B44" s="462" t="s">
        <v>401</v>
      </c>
      <c r="C44" s="489"/>
      <c r="D44" s="337"/>
      <c r="E44" s="118"/>
      <c r="F44" s="497">
        <v>12000</v>
      </c>
      <c r="G44" s="497"/>
      <c r="H44" s="40"/>
      <c r="I44" s="40"/>
      <c r="L44" s="119"/>
    </row>
    <row r="45" spans="1:12" ht="15">
      <c r="A45" s="34" t="s">
        <v>104</v>
      </c>
      <c r="B45" s="449" t="s">
        <v>814</v>
      </c>
      <c r="C45" s="451"/>
      <c r="D45" s="118" t="s">
        <v>391</v>
      </c>
      <c r="E45" s="118">
        <v>4</v>
      </c>
      <c r="F45" s="495">
        <v>11200</v>
      </c>
      <c r="G45" s="495"/>
      <c r="H45" s="40"/>
      <c r="I45" s="40"/>
      <c r="L45" s="119"/>
    </row>
    <row r="46" spans="1:11" s="67" customFormat="1" ht="15">
      <c r="A46" s="34" t="s">
        <v>117</v>
      </c>
      <c r="B46" s="511" t="s">
        <v>188</v>
      </c>
      <c r="C46" s="512"/>
      <c r="D46" s="123"/>
      <c r="E46" s="123"/>
      <c r="F46" s="495">
        <f>E24*1%</f>
        <v>2742.6092</v>
      </c>
      <c r="G46" s="495"/>
      <c r="H46" s="59"/>
      <c r="I46" s="59"/>
      <c r="J46" s="59"/>
      <c r="K46" s="59"/>
    </row>
    <row r="47" s="59" customFormat="1" ht="9" customHeight="1"/>
    <row r="48" spans="1:11" s="59" customFormat="1" ht="15">
      <c r="A48" s="67" t="s">
        <v>55</v>
      </c>
      <c r="B48" s="67"/>
      <c r="C48" s="125" t="s">
        <v>49</v>
      </c>
      <c r="D48" s="67"/>
      <c r="E48" s="67"/>
      <c r="F48" s="67" t="s">
        <v>90</v>
      </c>
      <c r="G48" s="67"/>
      <c r="H48" s="67"/>
      <c r="I48" s="67"/>
      <c r="J48" s="67"/>
      <c r="K48" s="67"/>
    </row>
    <row r="49" spans="1:7" s="59" customFormat="1" ht="15">
      <c r="A49" s="67"/>
      <c r="B49" s="67"/>
      <c r="C49" s="125"/>
      <c r="D49" s="67"/>
      <c r="E49" s="67"/>
      <c r="F49" s="126" t="s">
        <v>545</v>
      </c>
      <c r="G49" s="67"/>
    </row>
    <row r="50" spans="1:10" s="59" customFormat="1" ht="15">
      <c r="A50" s="67" t="s">
        <v>50</v>
      </c>
      <c r="B50" s="67"/>
      <c r="C50" s="125"/>
      <c r="D50" s="67"/>
      <c r="E50" s="67"/>
      <c r="F50" s="67"/>
      <c r="G50" s="67"/>
      <c r="H50" s="156"/>
      <c r="I50" s="156"/>
      <c r="J50" s="156"/>
    </row>
    <row r="51" spans="1:11" ht="15">
      <c r="A51" s="67"/>
      <c r="B51" s="67"/>
      <c r="C51" s="127" t="s">
        <v>51</v>
      </c>
      <c r="D51" s="67"/>
      <c r="E51" s="128"/>
      <c r="F51" s="128"/>
      <c r="G51" s="128"/>
      <c r="H51" s="59"/>
      <c r="I51" s="59"/>
      <c r="J51" s="59"/>
      <c r="K51" s="59"/>
    </row>
    <row r="52" spans="1:11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</row>
  </sheetData>
  <sheetProtection/>
  <mergeCells count="30">
    <mergeCell ref="B45:C45"/>
    <mergeCell ref="F45:G45"/>
    <mergeCell ref="B43:C43"/>
    <mergeCell ref="B44:C44"/>
    <mergeCell ref="F43:G43"/>
    <mergeCell ref="F44:G44"/>
    <mergeCell ref="B40:C40"/>
    <mergeCell ref="B42:C42"/>
    <mergeCell ref="B41:C41"/>
    <mergeCell ref="F41:G41"/>
    <mergeCell ref="F40:G40"/>
    <mergeCell ref="F42:G42"/>
    <mergeCell ref="A32:C32"/>
    <mergeCell ref="A35:G35"/>
    <mergeCell ref="B37:C37"/>
    <mergeCell ref="F37:G37"/>
    <mergeCell ref="B46:C46"/>
    <mergeCell ref="F46:G46"/>
    <mergeCell ref="B38:C38"/>
    <mergeCell ref="F38:G38"/>
    <mergeCell ref="B39:C39"/>
    <mergeCell ref="F39:G39"/>
    <mergeCell ref="A11:K11"/>
    <mergeCell ref="A31:F31"/>
    <mergeCell ref="A1:K1"/>
    <mergeCell ref="A2:K2"/>
    <mergeCell ref="A3:K3"/>
    <mergeCell ref="A5:K5"/>
    <mergeCell ref="A9:K9"/>
    <mergeCell ref="A10:K10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7030A0"/>
  </sheetPr>
  <dimension ref="A1:N50"/>
  <sheetViews>
    <sheetView zoomScalePageLayoutView="0" workbookViewId="0" topLeftCell="A31">
      <selection activeCell="F39" sqref="F39:G4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8" s="59" customFormat="1" ht="16.5" customHeight="1">
      <c r="A7" s="59" t="s">
        <v>2</v>
      </c>
      <c r="F7" s="60" t="s">
        <v>317</v>
      </c>
      <c r="H7" s="60"/>
    </row>
    <row r="8" spans="1:10" s="59" customFormat="1" ht="12.75">
      <c r="A8" s="59" t="s">
        <v>3</v>
      </c>
      <c r="F8" s="301" t="s">
        <v>490</v>
      </c>
      <c r="H8" s="304">
        <f>I8+J8</f>
        <v>1635.7</v>
      </c>
      <c r="I8" s="61">
        <v>0</v>
      </c>
      <c r="J8" s="61">
        <v>1635.7</v>
      </c>
    </row>
    <row r="9" spans="1:11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431</v>
      </c>
      <c r="B13" s="64"/>
      <c r="C13" s="64"/>
      <c r="D13" s="69"/>
      <c r="E13" s="70"/>
      <c r="F13" s="70"/>
      <c r="G13" s="65">
        <f>'[2]Грабцевское шоссе,78'!$G$34</f>
        <v>96782.70690000002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4" s="59" customFormat="1" ht="14.25">
      <c r="A16" s="75" t="s">
        <v>14</v>
      </c>
      <c r="B16" s="41" t="s">
        <v>15</v>
      </c>
      <c r="C16" s="97">
        <f>C17+C18+C19+C20</f>
        <v>9.879999999999999</v>
      </c>
      <c r="D16" s="76">
        <v>202563.63</v>
      </c>
      <c r="E16" s="76">
        <v>205827.2</v>
      </c>
      <c r="F16" s="76">
        <f aca="true" t="shared" si="0" ref="F16:F22">D16</f>
        <v>202563.63</v>
      </c>
      <c r="G16" s="77">
        <f>D16-E16</f>
        <v>-3263.570000000007</v>
      </c>
      <c r="H16" s="78">
        <f>C16</f>
        <v>9.879999999999999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70938.27528340081</v>
      </c>
      <c r="E17" s="83">
        <f>E16*I17</f>
        <v>72081.18542510123</v>
      </c>
      <c r="F17" s="83">
        <f t="shared" si="0"/>
        <v>70938.27528340081</v>
      </c>
      <c r="G17" s="84">
        <f>D17-E17</f>
        <v>-1142.910141700413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34649.04197368421</v>
      </c>
      <c r="E18" s="83">
        <f>E16*I18</f>
        <v>35207.28421052632</v>
      </c>
      <c r="F18" s="83">
        <f t="shared" si="0"/>
        <v>34649.04197368421</v>
      </c>
      <c r="G18" s="84">
        <f>D18-E18</f>
        <v>-558.2422368421103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82">
        <v>1.69</v>
      </c>
      <c r="D19" s="83">
        <f>D16*I19</f>
        <v>34649.04197368421</v>
      </c>
      <c r="E19" s="83">
        <f>E16*I19</f>
        <v>35207.28421052632</v>
      </c>
      <c r="F19" s="83">
        <f t="shared" si="0"/>
        <v>34649.04197368421</v>
      </c>
      <c r="G19" s="84">
        <f>D19-E19</f>
        <v>-558.2422368421103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62327.270769230774</v>
      </c>
      <c r="E20" s="83">
        <f>E16*I20</f>
        <v>63331.44615384616</v>
      </c>
      <c r="F20" s="83">
        <f t="shared" si="0"/>
        <v>62327.270769230774</v>
      </c>
      <c r="G20" s="84">
        <f>D20-E20</f>
        <v>-1004.1753846153879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209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371</v>
      </c>
      <c r="C22" s="46" t="s">
        <v>798</v>
      </c>
      <c r="D22" s="87">
        <v>46795.1</v>
      </c>
      <c r="E22" s="87">
        <v>46087.98</v>
      </c>
      <c r="F22" s="87">
        <f t="shared" si="0"/>
        <v>46795.1</v>
      </c>
      <c r="G22" s="77">
        <f t="shared" si="1"/>
        <v>707.1199999999953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26</v>
      </c>
      <c r="C23" s="46">
        <v>0</v>
      </c>
      <c r="D23" s="87">
        <v>0</v>
      </c>
      <c r="E23" s="87">
        <v>0</v>
      </c>
      <c r="F23" s="87"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1.86</v>
      </c>
      <c r="D24" s="87">
        <v>36459.19</v>
      </c>
      <c r="E24" s="87">
        <v>39457.55</v>
      </c>
      <c r="F24" s="87">
        <f>F38</f>
        <v>146830.0655</v>
      </c>
      <c r="G24" s="77">
        <f t="shared" si="1"/>
        <v>-2998.3600000000006</v>
      </c>
      <c r="H24" s="88"/>
      <c r="I24" s="88"/>
      <c r="J24" s="88"/>
      <c r="K24" s="88"/>
    </row>
    <row r="25" spans="1:11" ht="14.25">
      <c r="A25" s="41" t="s">
        <v>33</v>
      </c>
      <c r="B25" s="41" t="s">
        <v>161</v>
      </c>
      <c r="C25" s="97">
        <v>12.54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300068.91000000003</v>
      </c>
      <c r="E26" s="77">
        <f>SUM(E27:E30)</f>
        <v>303348.47</v>
      </c>
      <c r="F26" s="77">
        <f>SUM(F27:F30)</f>
        <v>300068.91000000003</v>
      </c>
      <c r="G26" s="77">
        <f t="shared" si="1"/>
        <v>-3279.5599999999395</v>
      </c>
      <c r="H26" s="98"/>
      <c r="I26" s="98"/>
      <c r="J26" s="98"/>
      <c r="K26" s="98"/>
    </row>
    <row r="27" spans="1:7" ht="15">
      <c r="A27" s="34" t="s">
        <v>37</v>
      </c>
      <c r="B27" s="34" t="s">
        <v>165</v>
      </c>
      <c r="C27" s="285">
        <v>6</v>
      </c>
      <c r="D27" s="84">
        <v>45142.25</v>
      </c>
      <c r="E27" s="84">
        <v>45831.5</v>
      </c>
      <c r="F27" s="84">
        <f>D27</f>
        <v>45142.25</v>
      </c>
      <c r="G27" s="84">
        <f t="shared" si="1"/>
        <v>-689.25</v>
      </c>
    </row>
    <row r="28" spans="1:7" ht="15">
      <c r="A28" s="34" t="s">
        <v>39</v>
      </c>
      <c r="B28" s="34" t="s">
        <v>137</v>
      </c>
      <c r="C28" s="285">
        <v>57.08</v>
      </c>
      <c r="D28" s="84">
        <v>254926.66</v>
      </c>
      <c r="E28" s="84">
        <v>257516.97</v>
      </c>
      <c r="F28" s="84">
        <f>D28</f>
        <v>254926.66</v>
      </c>
      <c r="G28" s="84">
        <f t="shared" si="1"/>
        <v>-2590.3099999999977</v>
      </c>
    </row>
    <row r="29" spans="1:7" ht="15">
      <c r="A29" s="34" t="s">
        <v>42</v>
      </c>
      <c r="B29" s="51" t="s">
        <v>340</v>
      </c>
      <c r="C29" s="286">
        <v>0</v>
      </c>
      <c r="D29" s="84">
        <v>0</v>
      </c>
      <c r="E29" s="84">
        <v>0</v>
      </c>
      <c r="F29" s="84">
        <v>0</v>
      </c>
      <c r="G29" s="84">
        <f t="shared" si="1"/>
        <v>0</v>
      </c>
    </row>
    <row r="30" spans="1:7" s="272" customFormat="1" ht="15">
      <c r="A30" s="267" t="s">
        <v>41</v>
      </c>
      <c r="B30" s="267" t="s">
        <v>43</v>
      </c>
      <c r="C30" s="143">
        <v>0</v>
      </c>
      <c r="D30" s="210">
        <v>0</v>
      </c>
      <c r="E30" s="210">
        <v>0</v>
      </c>
      <c r="F30" s="210">
        <f>D30</f>
        <v>0</v>
      </c>
      <c r="G30" s="84">
        <f t="shared" si="1"/>
        <v>0</v>
      </c>
    </row>
    <row r="31" spans="1:9" s="102" customFormat="1" ht="19.5" customHeight="1" thickBot="1">
      <c r="A31" s="446" t="s">
        <v>294</v>
      </c>
      <c r="B31" s="447"/>
      <c r="C31" s="447"/>
      <c r="D31" s="448"/>
      <c r="E31" s="448"/>
      <c r="F31" s="448"/>
      <c r="G31" s="101"/>
      <c r="H31" s="101"/>
      <c r="I31" s="101"/>
    </row>
    <row r="32" spans="1:9" s="67" customFormat="1" ht="15.75" thickBot="1">
      <c r="A32" s="455" t="s">
        <v>413</v>
      </c>
      <c r="B32" s="456"/>
      <c r="C32" s="456"/>
      <c r="D32" s="71">
        <v>127563.11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415</v>
      </c>
      <c r="B34" s="64"/>
      <c r="C34" s="64"/>
      <c r="D34" s="69"/>
      <c r="E34" s="70"/>
      <c r="F34" s="70"/>
      <c r="G34" s="306">
        <f>G13+E24-F24</f>
        <v>-10589.80859999996</v>
      </c>
      <c r="H34" s="62"/>
      <c r="I34" s="62"/>
    </row>
    <row r="35" spans="1:11" ht="31.5" customHeight="1">
      <c r="A35" s="616" t="s">
        <v>179</v>
      </c>
      <c r="B35" s="617"/>
      <c r="C35" s="617"/>
      <c r="D35" s="617"/>
      <c r="E35" s="617"/>
      <c r="F35" s="617"/>
      <c r="G35" s="617"/>
      <c r="H35" s="58"/>
      <c r="I35" s="58"/>
      <c r="J35" s="58"/>
      <c r="K35" s="58"/>
    </row>
    <row r="37" spans="1:12" s="74" customFormat="1" ht="37.5" customHeight="1">
      <c r="A37" s="105" t="s">
        <v>11</v>
      </c>
      <c r="B37" s="471" t="s">
        <v>45</v>
      </c>
      <c r="C37" s="484"/>
      <c r="D37" s="105" t="s">
        <v>163</v>
      </c>
      <c r="E37" s="105" t="s">
        <v>162</v>
      </c>
      <c r="F37" s="471" t="s">
        <v>46</v>
      </c>
      <c r="G37" s="484"/>
      <c r="H37" s="244"/>
      <c r="I37" s="245"/>
      <c r="L37" s="108"/>
    </row>
    <row r="38" spans="1:12" s="114" customFormat="1" ht="15" customHeight="1">
      <c r="A38" s="109" t="s">
        <v>47</v>
      </c>
      <c r="B38" s="473" t="s">
        <v>111</v>
      </c>
      <c r="C38" s="491"/>
      <c r="D38" s="110"/>
      <c r="E38" s="110"/>
      <c r="F38" s="496">
        <f>SUM(F39:G44)</f>
        <v>146830.0655</v>
      </c>
      <c r="G38" s="483"/>
      <c r="H38" s="246"/>
      <c r="I38" s="247"/>
      <c r="L38" s="115"/>
    </row>
    <row r="39" spans="1:12" ht="15">
      <c r="A39" s="34" t="s">
        <v>16</v>
      </c>
      <c r="B39" s="462" t="s">
        <v>786</v>
      </c>
      <c r="C39" s="489"/>
      <c r="D39" s="403"/>
      <c r="E39" s="403"/>
      <c r="F39" s="624">
        <v>98835.49</v>
      </c>
      <c r="G39" s="625"/>
      <c r="H39" s="248"/>
      <c r="I39" s="249"/>
      <c r="L39" s="119"/>
    </row>
    <row r="40" spans="1:12" ht="15">
      <c r="A40" s="34" t="s">
        <v>18</v>
      </c>
      <c r="B40" s="462" t="s">
        <v>784</v>
      </c>
      <c r="C40" s="489"/>
      <c r="D40" s="403" t="s">
        <v>164</v>
      </c>
      <c r="E40" s="403">
        <v>1</v>
      </c>
      <c r="F40" s="624">
        <v>5400</v>
      </c>
      <c r="G40" s="625"/>
      <c r="H40" s="40"/>
      <c r="I40" s="40"/>
      <c r="L40" s="119"/>
    </row>
    <row r="41" spans="1:12" ht="15">
      <c r="A41" s="34" t="s">
        <v>20</v>
      </c>
      <c r="B41" s="462" t="s">
        <v>785</v>
      </c>
      <c r="C41" s="489"/>
      <c r="D41" s="403"/>
      <c r="E41" s="403"/>
      <c r="F41" s="624">
        <v>11000</v>
      </c>
      <c r="G41" s="625"/>
      <c r="H41" s="40"/>
      <c r="I41" s="40"/>
      <c r="L41" s="119"/>
    </row>
    <row r="42" spans="1:12" ht="15">
      <c r="A42" s="34" t="s">
        <v>22</v>
      </c>
      <c r="B42" s="462" t="s">
        <v>404</v>
      </c>
      <c r="C42" s="489"/>
      <c r="D42" s="403" t="s">
        <v>391</v>
      </c>
      <c r="E42" s="403">
        <v>10</v>
      </c>
      <c r="F42" s="624">
        <v>20000</v>
      </c>
      <c r="G42" s="625"/>
      <c r="H42" s="40"/>
      <c r="I42" s="40"/>
      <c r="L42" s="119"/>
    </row>
    <row r="43" spans="1:12" ht="15">
      <c r="A43" s="34" t="s">
        <v>24</v>
      </c>
      <c r="B43" s="449" t="s">
        <v>814</v>
      </c>
      <c r="C43" s="451"/>
      <c r="D43" s="118" t="s">
        <v>391</v>
      </c>
      <c r="E43" s="118">
        <v>4</v>
      </c>
      <c r="F43" s="523">
        <v>11200</v>
      </c>
      <c r="G43" s="524"/>
      <c r="H43" s="40"/>
      <c r="I43" s="40"/>
      <c r="L43" s="119"/>
    </row>
    <row r="44" spans="1:11" s="67" customFormat="1" ht="15">
      <c r="A44" s="34" t="s">
        <v>103</v>
      </c>
      <c r="B44" s="511" t="s">
        <v>188</v>
      </c>
      <c r="C44" s="512"/>
      <c r="D44" s="123"/>
      <c r="E44" s="123"/>
      <c r="F44" s="495">
        <f>E24*1%</f>
        <v>394.57550000000003</v>
      </c>
      <c r="G44" s="495"/>
      <c r="H44" s="59"/>
      <c r="I44" s="59"/>
      <c r="J44" s="59"/>
      <c r="K44" s="59"/>
    </row>
    <row r="45" s="59" customFormat="1" ht="9" customHeight="1"/>
    <row r="46" spans="1:11" s="59" customFormat="1" ht="15">
      <c r="A46" s="67" t="s">
        <v>55</v>
      </c>
      <c r="B46" s="67"/>
      <c r="C46" s="125" t="s">
        <v>49</v>
      </c>
      <c r="D46" s="67"/>
      <c r="E46" s="67"/>
      <c r="F46" s="67" t="s">
        <v>90</v>
      </c>
      <c r="G46" s="67"/>
      <c r="H46" s="67"/>
      <c r="I46" s="67"/>
      <c r="J46" s="67"/>
      <c r="K46" s="67"/>
    </row>
    <row r="47" spans="1:7" s="59" customFormat="1" ht="15">
      <c r="A47" s="67"/>
      <c r="B47" s="67"/>
      <c r="C47" s="125"/>
      <c r="D47" s="67"/>
      <c r="E47" s="67"/>
      <c r="F47" s="126" t="s">
        <v>545</v>
      </c>
      <c r="G47" s="67"/>
    </row>
    <row r="48" spans="1:10" s="59" customFormat="1" ht="15">
      <c r="A48" s="67" t="s">
        <v>50</v>
      </c>
      <c r="B48" s="67"/>
      <c r="C48" s="125"/>
      <c r="D48" s="67"/>
      <c r="E48" s="67"/>
      <c r="F48" s="67"/>
      <c r="G48" s="67"/>
      <c r="H48" s="156"/>
      <c r="I48" s="156"/>
      <c r="J48" s="156"/>
    </row>
    <row r="49" spans="1:11" ht="15">
      <c r="A49" s="67"/>
      <c r="B49" s="67"/>
      <c r="C49" s="127" t="s">
        <v>51</v>
      </c>
      <c r="D49" s="67"/>
      <c r="E49" s="128"/>
      <c r="F49" s="128"/>
      <c r="G49" s="128"/>
      <c r="H49" s="59"/>
      <c r="I49" s="59"/>
      <c r="J49" s="59"/>
      <c r="K49" s="59"/>
    </row>
    <row r="50" spans="1:11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</row>
  </sheetData>
  <sheetProtection/>
  <mergeCells count="26">
    <mergeCell ref="B40:C40"/>
    <mergeCell ref="B41:C41"/>
    <mergeCell ref="B42:C42"/>
    <mergeCell ref="F40:G40"/>
    <mergeCell ref="B43:C43"/>
    <mergeCell ref="F43:G43"/>
    <mergeCell ref="A32:C32"/>
    <mergeCell ref="A35:G35"/>
    <mergeCell ref="B37:C37"/>
    <mergeCell ref="F37:G37"/>
    <mergeCell ref="B44:C44"/>
    <mergeCell ref="F44:G44"/>
    <mergeCell ref="B38:C38"/>
    <mergeCell ref="F38:G38"/>
    <mergeCell ref="B39:C39"/>
    <mergeCell ref="F39:G39"/>
    <mergeCell ref="F41:G41"/>
    <mergeCell ref="F42:G42"/>
    <mergeCell ref="A1:K1"/>
    <mergeCell ref="A2:K2"/>
    <mergeCell ref="A3:K3"/>
    <mergeCell ref="A5:K5"/>
    <mergeCell ref="A9:K9"/>
    <mergeCell ref="A10:K10"/>
    <mergeCell ref="A11:K11"/>
    <mergeCell ref="A31:F3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7030A0"/>
  </sheetPr>
  <dimension ref="A1:N50"/>
  <sheetViews>
    <sheetView zoomScalePageLayoutView="0" workbookViewId="0" topLeftCell="A34">
      <selection activeCell="A45" sqref="A45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8" s="59" customFormat="1" ht="16.5" customHeight="1">
      <c r="A7" s="59" t="s">
        <v>2</v>
      </c>
      <c r="F7" s="60" t="s">
        <v>385</v>
      </c>
      <c r="H7" s="60"/>
    </row>
    <row r="8" spans="1:10" s="59" customFormat="1" ht="12.75">
      <c r="A8" s="59" t="s">
        <v>3</v>
      </c>
      <c r="F8" s="301" t="s">
        <v>386</v>
      </c>
      <c r="H8" s="304">
        <f>I8+J8</f>
        <v>3542.3</v>
      </c>
      <c r="I8" s="61">
        <v>0</v>
      </c>
      <c r="J8" s="61">
        <v>3542.3</v>
      </c>
    </row>
    <row r="9" spans="1:11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431</v>
      </c>
      <c r="B13" s="64"/>
      <c r="C13" s="64"/>
      <c r="D13" s="69"/>
      <c r="E13" s="70"/>
      <c r="F13" s="70"/>
      <c r="G13" s="65">
        <f>'[2]Октябрьская,8'!$G$35</f>
        <v>17282.4003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4" s="59" customFormat="1" ht="14.25">
      <c r="A16" s="75" t="s">
        <v>14</v>
      </c>
      <c r="B16" s="41" t="s">
        <v>15</v>
      </c>
      <c r="C16" s="97">
        <f>C17+C18+C19+C20+C21</f>
        <v>13.379999999999999</v>
      </c>
      <c r="D16" s="76">
        <v>581542.25</v>
      </c>
      <c r="E16" s="76">
        <v>575760.65</v>
      </c>
      <c r="F16" s="76">
        <f aca="true" t="shared" si="0" ref="F16:F21">D16</f>
        <v>581542.25</v>
      </c>
      <c r="G16" s="77">
        <f aca="true" t="shared" si="1" ref="G16:G21">D16-E16</f>
        <v>5781.599999999977</v>
      </c>
      <c r="H16" s="78">
        <f aca="true" t="shared" si="2" ref="H16:H21">C16</f>
        <v>13.379999999999999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150383.87032884904</v>
      </c>
      <c r="E17" s="83">
        <f>E16*I17</f>
        <v>148888.7779521674</v>
      </c>
      <c r="F17" s="83">
        <f t="shared" si="0"/>
        <v>150383.87032884904</v>
      </c>
      <c r="G17" s="84">
        <f t="shared" si="1"/>
        <v>1495.0923766816268</v>
      </c>
      <c r="H17" s="78">
        <f t="shared" si="2"/>
        <v>3.46</v>
      </c>
      <c r="I17" s="59">
        <f>H17/H16</f>
        <v>0.2585949177877429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73453.39331091182</v>
      </c>
      <c r="E18" s="83">
        <f>E16*I18</f>
        <v>72723.13142750374</v>
      </c>
      <c r="F18" s="83">
        <f t="shared" si="0"/>
        <v>73453.39331091182</v>
      </c>
      <c r="G18" s="84">
        <f t="shared" si="1"/>
        <v>730.2618834080786</v>
      </c>
      <c r="H18" s="78">
        <f t="shared" si="2"/>
        <v>1.69</v>
      </c>
      <c r="I18" s="59">
        <f>H18/H16</f>
        <v>0.12630792227204785</v>
      </c>
    </row>
    <row r="19" spans="1:9" s="59" customFormat="1" ht="15">
      <c r="A19" s="81" t="s">
        <v>20</v>
      </c>
      <c r="B19" s="34" t="s">
        <v>21</v>
      </c>
      <c r="C19" s="82">
        <v>1.69</v>
      </c>
      <c r="D19" s="83">
        <f>D16*I19</f>
        <v>73453.39331091182</v>
      </c>
      <c r="E19" s="83">
        <f>E16*I19</f>
        <v>72723.13142750374</v>
      </c>
      <c r="F19" s="83">
        <f t="shared" si="0"/>
        <v>73453.39331091182</v>
      </c>
      <c r="G19" s="84">
        <f t="shared" si="1"/>
        <v>730.2618834080786</v>
      </c>
      <c r="H19" s="78">
        <f t="shared" si="2"/>
        <v>1.69</v>
      </c>
      <c r="I19" s="59">
        <f>H19/H16</f>
        <v>0.12630792227204785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132129.18086696565</v>
      </c>
      <c r="E20" s="83">
        <f>E16*I20</f>
        <v>130815.57369207774</v>
      </c>
      <c r="F20" s="83">
        <f t="shared" si="0"/>
        <v>132129.18086696565</v>
      </c>
      <c r="G20" s="84">
        <f t="shared" si="1"/>
        <v>1313.607174887904</v>
      </c>
      <c r="H20" s="78">
        <f t="shared" si="2"/>
        <v>3.04</v>
      </c>
      <c r="I20" s="59">
        <f>H20/H16</f>
        <v>0.22720478325859494</v>
      </c>
    </row>
    <row r="21" spans="1:9" s="59" customFormat="1" ht="15">
      <c r="A21" s="81" t="s">
        <v>24</v>
      </c>
      <c r="B21" s="34" t="s">
        <v>143</v>
      </c>
      <c r="C21" s="82">
        <v>3.5</v>
      </c>
      <c r="D21" s="83">
        <f>D17*I21</f>
        <v>152122.41218236176</v>
      </c>
      <c r="E21" s="83">
        <f>E17*I21</f>
        <v>150610.03550074738</v>
      </c>
      <c r="F21" s="83">
        <f t="shared" si="0"/>
        <v>152122.41218236176</v>
      </c>
      <c r="G21" s="84">
        <f t="shared" si="1"/>
        <v>1512.3766816143761</v>
      </c>
      <c r="H21" s="78">
        <f t="shared" si="2"/>
        <v>3.5</v>
      </c>
      <c r="I21" s="59">
        <f>H21/H17</f>
        <v>1.0115606936416186</v>
      </c>
    </row>
    <row r="22" spans="1:11" s="89" customFormat="1" ht="14.25">
      <c r="A22" s="86" t="s">
        <v>25</v>
      </c>
      <c r="B22" s="86" t="s">
        <v>209</v>
      </c>
      <c r="C22" s="46">
        <v>0</v>
      </c>
      <c r="D22" s="87">
        <v>0</v>
      </c>
      <c r="E22" s="87">
        <v>0</v>
      </c>
      <c r="F22" s="87">
        <v>0</v>
      </c>
      <c r="G22" s="77">
        <f aca="true" t="shared" si="3" ref="G22:G31">D22-E22</f>
        <v>0</v>
      </c>
      <c r="H22" s="88"/>
      <c r="I22" s="88"/>
      <c r="J22" s="88"/>
      <c r="K22" s="88"/>
    </row>
    <row r="23" spans="1:11" s="89" customFormat="1" ht="14.25">
      <c r="A23" s="86" t="s">
        <v>27</v>
      </c>
      <c r="B23" s="86" t="s">
        <v>193</v>
      </c>
      <c r="C23" s="46">
        <v>0</v>
      </c>
      <c r="D23" s="87">
        <v>0</v>
      </c>
      <c r="E23" s="87">
        <v>0</v>
      </c>
      <c r="F23" s="87">
        <f>D23</f>
        <v>0</v>
      </c>
      <c r="G23" s="77">
        <f t="shared" si="3"/>
        <v>0</v>
      </c>
      <c r="H23" s="88"/>
      <c r="I23" s="88"/>
      <c r="J23" s="88"/>
      <c r="K23" s="88"/>
    </row>
    <row r="24" spans="1:11" s="89" customFormat="1" ht="14.25">
      <c r="A24" s="86" t="s">
        <v>29</v>
      </c>
      <c r="B24" s="86" t="s">
        <v>26</v>
      </c>
      <c r="C24" s="46">
        <v>0</v>
      </c>
      <c r="D24" s="87">
        <v>0</v>
      </c>
      <c r="E24" s="87">
        <v>0</v>
      </c>
      <c r="F24" s="87">
        <v>0</v>
      </c>
      <c r="G24" s="77">
        <f t="shared" si="3"/>
        <v>0</v>
      </c>
      <c r="H24" s="88"/>
      <c r="I24" s="88"/>
      <c r="J24" s="88"/>
      <c r="K24" s="88"/>
    </row>
    <row r="25" spans="1:11" s="89" customFormat="1" ht="14.25">
      <c r="A25" s="86" t="s">
        <v>31</v>
      </c>
      <c r="B25" s="86" t="s">
        <v>116</v>
      </c>
      <c r="C25" s="95">
        <v>1.86</v>
      </c>
      <c r="D25" s="87">
        <v>79064.16</v>
      </c>
      <c r="E25" s="87">
        <v>78248.12</v>
      </c>
      <c r="F25" s="87">
        <f>F39</f>
        <v>48632.4812</v>
      </c>
      <c r="G25" s="77">
        <f t="shared" si="3"/>
        <v>816.0400000000081</v>
      </c>
      <c r="H25" s="88"/>
      <c r="I25" s="88"/>
      <c r="J25" s="88"/>
      <c r="K25" s="88"/>
    </row>
    <row r="26" spans="1:11" ht="14.25">
      <c r="A26" s="41" t="s">
        <v>33</v>
      </c>
      <c r="B26" s="41" t="s">
        <v>161</v>
      </c>
      <c r="C26" s="97" t="s">
        <v>297</v>
      </c>
      <c r="D26" s="77">
        <v>0</v>
      </c>
      <c r="E26" s="77">
        <v>0</v>
      </c>
      <c r="F26" s="87">
        <f>D26</f>
        <v>0</v>
      </c>
      <c r="G26" s="77">
        <f t="shared" si="3"/>
        <v>0</v>
      </c>
      <c r="H26" s="98"/>
      <c r="I26" s="98"/>
      <c r="J26" s="98"/>
      <c r="K26" s="98"/>
    </row>
    <row r="27" spans="1:11" ht="14.25">
      <c r="A27" s="41" t="s">
        <v>35</v>
      </c>
      <c r="B27" s="41" t="s">
        <v>36</v>
      </c>
      <c r="C27" s="97"/>
      <c r="D27" s="77">
        <f>SUM(D28:D31)</f>
        <v>118397.62</v>
      </c>
      <c r="E27" s="77">
        <f>SUM(E28:E31)</f>
        <v>115327.27</v>
      </c>
      <c r="F27" s="77">
        <f>SUM(F28:F31)</f>
        <v>118397.62</v>
      </c>
      <c r="G27" s="77">
        <f t="shared" si="3"/>
        <v>3070.3499999999913</v>
      </c>
      <c r="H27" s="98"/>
      <c r="I27" s="98"/>
      <c r="J27" s="98"/>
      <c r="K27" s="98"/>
    </row>
    <row r="28" spans="1:7" ht="15">
      <c r="A28" s="34" t="s">
        <v>37</v>
      </c>
      <c r="B28" s="34" t="s">
        <v>165</v>
      </c>
      <c r="C28" s="285">
        <v>6</v>
      </c>
      <c r="D28" s="84">
        <v>111294.22</v>
      </c>
      <c r="E28" s="84">
        <v>108305.41</v>
      </c>
      <c r="F28" s="84">
        <f>D28</f>
        <v>111294.22</v>
      </c>
      <c r="G28" s="84">
        <f t="shared" si="3"/>
        <v>2988.8099999999977</v>
      </c>
    </row>
    <row r="29" spans="1:7" ht="15">
      <c r="A29" s="34" t="s">
        <v>39</v>
      </c>
      <c r="B29" s="34" t="s">
        <v>137</v>
      </c>
      <c r="C29" s="285">
        <v>57.08</v>
      </c>
      <c r="D29" s="84">
        <v>7103.4</v>
      </c>
      <c r="E29" s="84">
        <v>7021.86</v>
      </c>
      <c r="F29" s="84">
        <f>D29</f>
        <v>7103.4</v>
      </c>
      <c r="G29" s="84">
        <f t="shared" si="3"/>
        <v>81.53999999999996</v>
      </c>
    </row>
    <row r="30" spans="1:7" ht="15">
      <c r="A30" s="34" t="s">
        <v>42</v>
      </c>
      <c r="B30" s="51" t="s">
        <v>340</v>
      </c>
      <c r="C30" s="286">
        <v>0</v>
      </c>
      <c r="D30" s="84">
        <v>0</v>
      </c>
      <c r="E30" s="84">
        <v>0</v>
      </c>
      <c r="F30" s="84">
        <v>0</v>
      </c>
      <c r="G30" s="84">
        <f t="shared" si="3"/>
        <v>0</v>
      </c>
    </row>
    <row r="31" spans="1:7" s="272" customFormat="1" ht="15">
      <c r="A31" s="267" t="s">
        <v>41</v>
      </c>
      <c r="B31" s="267" t="s">
        <v>43</v>
      </c>
      <c r="C31" s="143">
        <v>0</v>
      </c>
      <c r="D31" s="210">
        <v>0</v>
      </c>
      <c r="E31" s="210">
        <v>0</v>
      </c>
      <c r="F31" s="210">
        <f>D31</f>
        <v>0</v>
      </c>
      <c r="G31" s="84">
        <f t="shared" si="3"/>
        <v>0</v>
      </c>
    </row>
    <row r="32" spans="1:9" s="102" customFormat="1" ht="19.5" customHeight="1" thickBot="1">
      <c r="A32" s="446" t="s">
        <v>294</v>
      </c>
      <c r="B32" s="447"/>
      <c r="C32" s="447"/>
      <c r="D32" s="448"/>
      <c r="E32" s="448"/>
      <c r="F32" s="448"/>
      <c r="G32" s="101"/>
      <c r="H32" s="101"/>
      <c r="I32" s="101"/>
    </row>
    <row r="33" spans="1:9" s="67" customFormat="1" ht="15.75" thickBot="1">
      <c r="A33" s="455" t="s">
        <v>413</v>
      </c>
      <c r="B33" s="456"/>
      <c r="C33" s="456"/>
      <c r="D33" s="71">
        <v>157389.12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415</v>
      </c>
      <c r="B35" s="64"/>
      <c r="C35" s="64"/>
      <c r="D35" s="69"/>
      <c r="E35" s="70"/>
      <c r="F35" s="70"/>
      <c r="G35" s="306">
        <f>G13+E25-F25</f>
        <v>46898.0391</v>
      </c>
      <c r="H35" s="62"/>
      <c r="I35" s="62"/>
    </row>
    <row r="36" spans="1:11" ht="31.5" customHeight="1">
      <c r="A36" s="616" t="s">
        <v>179</v>
      </c>
      <c r="B36" s="617"/>
      <c r="C36" s="617"/>
      <c r="D36" s="617"/>
      <c r="E36" s="617"/>
      <c r="F36" s="617"/>
      <c r="G36" s="617"/>
      <c r="H36" s="58"/>
      <c r="I36" s="58"/>
      <c r="J36" s="58"/>
      <c r="K36" s="58"/>
    </row>
    <row r="38" spans="1:12" s="74" customFormat="1" ht="37.5" customHeight="1">
      <c r="A38" s="105" t="s">
        <v>11</v>
      </c>
      <c r="B38" s="471" t="s">
        <v>45</v>
      </c>
      <c r="C38" s="484"/>
      <c r="D38" s="105" t="s">
        <v>163</v>
      </c>
      <c r="E38" s="105" t="s">
        <v>162</v>
      </c>
      <c r="F38" s="471" t="s">
        <v>46</v>
      </c>
      <c r="G38" s="484"/>
      <c r="H38" s="244"/>
      <c r="I38" s="245"/>
      <c r="L38" s="108"/>
    </row>
    <row r="39" spans="1:12" s="114" customFormat="1" ht="15" customHeight="1">
      <c r="A39" s="109" t="s">
        <v>47</v>
      </c>
      <c r="B39" s="473" t="s">
        <v>111</v>
      </c>
      <c r="C39" s="491"/>
      <c r="D39" s="110"/>
      <c r="E39" s="110"/>
      <c r="F39" s="496">
        <f>SUM(F40:G44)</f>
        <v>48632.4812</v>
      </c>
      <c r="G39" s="483"/>
      <c r="H39" s="246"/>
      <c r="I39" s="247"/>
      <c r="L39" s="115"/>
    </row>
    <row r="40" spans="1:12" ht="15">
      <c r="A40" s="34" t="s">
        <v>16</v>
      </c>
      <c r="B40" s="462" t="s">
        <v>733</v>
      </c>
      <c r="C40" s="489"/>
      <c r="D40" s="403" t="s">
        <v>164</v>
      </c>
      <c r="E40" s="403">
        <v>1</v>
      </c>
      <c r="F40" s="624">
        <v>4850</v>
      </c>
      <c r="G40" s="625"/>
      <c r="H40" s="248"/>
      <c r="I40" s="249"/>
      <c r="L40" s="119"/>
    </row>
    <row r="41" spans="1:12" ht="15">
      <c r="A41" s="34" t="s">
        <v>18</v>
      </c>
      <c r="B41" s="462" t="s">
        <v>168</v>
      </c>
      <c r="C41" s="489"/>
      <c r="D41" s="403"/>
      <c r="E41" s="403"/>
      <c r="F41" s="624">
        <v>18000</v>
      </c>
      <c r="G41" s="625"/>
      <c r="H41" s="40"/>
      <c r="I41" s="40"/>
      <c r="L41" s="119"/>
    </row>
    <row r="42" spans="1:12" ht="15">
      <c r="A42" s="34" t="s">
        <v>20</v>
      </c>
      <c r="B42" s="462" t="s">
        <v>325</v>
      </c>
      <c r="C42" s="489"/>
      <c r="D42" s="403"/>
      <c r="E42" s="403"/>
      <c r="F42" s="624">
        <v>11000</v>
      </c>
      <c r="G42" s="625"/>
      <c r="H42" s="40"/>
      <c r="I42" s="40"/>
      <c r="L42" s="119"/>
    </row>
    <row r="43" spans="1:12" ht="15">
      <c r="A43" s="34" t="s">
        <v>22</v>
      </c>
      <c r="B43" s="449" t="s">
        <v>814</v>
      </c>
      <c r="C43" s="451"/>
      <c r="D43" s="118" t="s">
        <v>391</v>
      </c>
      <c r="E43" s="118">
        <v>5</v>
      </c>
      <c r="F43" s="523">
        <v>14000</v>
      </c>
      <c r="G43" s="524"/>
      <c r="H43" s="40"/>
      <c r="I43" s="40"/>
      <c r="L43" s="119"/>
    </row>
    <row r="44" spans="1:11" s="67" customFormat="1" ht="15">
      <c r="A44" s="34" t="s">
        <v>24</v>
      </c>
      <c r="B44" s="511" t="s">
        <v>188</v>
      </c>
      <c r="C44" s="512"/>
      <c r="D44" s="123"/>
      <c r="E44" s="123"/>
      <c r="F44" s="495">
        <f>E25*1%</f>
        <v>782.4812</v>
      </c>
      <c r="G44" s="495"/>
      <c r="H44" s="59"/>
      <c r="I44" s="59"/>
      <c r="J44" s="59"/>
      <c r="K44" s="59"/>
    </row>
    <row r="45" s="59" customFormat="1" ht="9" customHeight="1"/>
    <row r="46" spans="1:11" s="59" customFormat="1" ht="15">
      <c r="A46" s="67" t="s">
        <v>55</v>
      </c>
      <c r="B46" s="67"/>
      <c r="C46" s="125" t="s">
        <v>49</v>
      </c>
      <c r="D46" s="67"/>
      <c r="E46" s="67"/>
      <c r="F46" s="67" t="s">
        <v>90</v>
      </c>
      <c r="G46" s="67"/>
      <c r="H46" s="67"/>
      <c r="I46" s="67"/>
      <c r="J46" s="67"/>
      <c r="K46" s="67"/>
    </row>
    <row r="47" spans="1:7" s="59" customFormat="1" ht="15">
      <c r="A47" s="67"/>
      <c r="B47" s="67"/>
      <c r="C47" s="125"/>
      <c r="D47" s="67"/>
      <c r="E47" s="67"/>
      <c r="F47" s="126" t="s">
        <v>545</v>
      </c>
      <c r="G47" s="67"/>
    </row>
    <row r="48" spans="1:10" s="59" customFormat="1" ht="15">
      <c r="A48" s="67" t="s">
        <v>50</v>
      </c>
      <c r="B48" s="67"/>
      <c r="C48" s="125"/>
      <c r="D48" s="67"/>
      <c r="E48" s="67"/>
      <c r="F48" s="67"/>
      <c r="G48" s="67"/>
      <c r="H48" s="156"/>
      <c r="I48" s="156"/>
      <c r="J48" s="156"/>
    </row>
    <row r="49" spans="1:11" ht="15">
      <c r="A49" s="67"/>
      <c r="B49" s="67"/>
      <c r="C49" s="127" t="s">
        <v>51</v>
      </c>
      <c r="D49" s="67"/>
      <c r="E49" s="128"/>
      <c r="F49" s="128"/>
      <c r="G49" s="128"/>
      <c r="H49" s="59"/>
      <c r="I49" s="59"/>
      <c r="J49" s="59"/>
      <c r="K49" s="59"/>
    </row>
    <row r="50" spans="1:11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</row>
  </sheetData>
  <sheetProtection/>
  <mergeCells count="24">
    <mergeCell ref="B43:C43"/>
    <mergeCell ref="F43:G43"/>
    <mergeCell ref="A1:K1"/>
    <mergeCell ref="A2:K2"/>
    <mergeCell ref="A3:K3"/>
    <mergeCell ref="A5:K5"/>
    <mergeCell ref="A9:K9"/>
    <mergeCell ref="A10:K10"/>
    <mergeCell ref="A11:K11"/>
    <mergeCell ref="A32:F32"/>
    <mergeCell ref="A33:C33"/>
    <mergeCell ref="A36:G36"/>
    <mergeCell ref="B38:C38"/>
    <mergeCell ref="F38:G38"/>
    <mergeCell ref="B39:C39"/>
    <mergeCell ref="F39:G39"/>
    <mergeCell ref="B40:C40"/>
    <mergeCell ref="F40:G40"/>
    <mergeCell ref="B44:C44"/>
    <mergeCell ref="F44:G44"/>
    <mergeCell ref="B41:C41"/>
    <mergeCell ref="B42:C42"/>
    <mergeCell ref="F41:G41"/>
    <mergeCell ref="F42:G42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7030A0"/>
  </sheetPr>
  <dimension ref="A1:N52"/>
  <sheetViews>
    <sheetView zoomScalePageLayoutView="0" workbookViewId="0" topLeftCell="A37">
      <selection activeCell="F46" sqref="F46:G46"/>
    </sheetView>
  </sheetViews>
  <sheetFormatPr defaultColWidth="9.140625" defaultRowHeight="15" outlineLevelCol="2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2"/>
    <col min="10" max="10" width="10.140625" style="57" hidden="1" customWidth="1" outlineLevel="2"/>
    <col min="11" max="11" width="10.421875" style="57" hidden="1" customWidth="1" outlineLevel="1" collapsed="1"/>
    <col min="12" max="12" width="9.140625" style="57" hidden="1" customWidth="1" outlineLevel="1"/>
    <col min="13" max="13" width="10.00390625" style="57" hidden="1" customWidth="1" outlineLevel="1"/>
    <col min="14" max="14" width="15.8515625" style="57" customWidth="1" collapsed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13" s="59" customFormat="1" ht="16.5" customHeight="1">
      <c r="A7" s="59" t="s">
        <v>2</v>
      </c>
      <c r="F7" s="60" t="s">
        <v>387</v>
      </c>
      <c r="H7" s="60"/>
      <c r="K7" s="61">
        <v>939.8</v>
      </c>
      <c r="L7" s="59">
        <v>3849.8</v>
      </c>
      <c r="M7" s="59">
        <f>K7+L7</f>
        <v>4789.6</v>
      </c>
    </row>
    <row r="8" spans="1:10" s="59" customFormat="1" ht="12.75">
      <c r="A8" s="59" t="s">
        <v>3</v>
      </c>
      <c r="F8" s="301" t="s">
        <v>388</v>
      </c>
      <c r="H8" s="304">
        <f>I8+J8</f>
        <v>4789.6</v>
      </c>
      <c r="I8" s="61">
        <f>381.9+109.6+229.1+127+92.2</f>
        <v>939.8000000000001</v>
      </c>
      <c r="J8" s="61">
        <v>3849.8</v>
      </c>
    </row>
    <row r="9" spans="2:10" s="59" customFormat="1" ht="12.75">
      <c r="B9" s="59" t="s">
        <v>507</v>
      </c>
      <c r="F9" s="301" t="s">
        <v>787</v>
      </c>
      <c r="H9" s="304"/>
      <c r="I9" s="61"/>
      <c r="J9" s="61"/>
    </row>
    <row r="10" spans="1:11" s="59" customFormat="1" ht="12.7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11" s="59" customFormat="1" ht="12.7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431</v>
      </c>
      <c r="B14" s="64"/>
      <c r="C14" s="64"/>
      <c r="D14" s="69"/>
      <c r="E14" s="70"/>
      <c r="F14" s="70"/>
      <c r="G14" s="65">
        <f>'[2]А.Королева,27'!$G$34</f>
        <v>-23365.103599999988</v>
      </c>
      <c r="H14" s="62"/>
      <c r="I14" s="62"/>
    </row>
    <row r="15" s="59" customFormat="1" ht="6.75" customHeight="1"/>
    <row r="16" spans="1:12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  <c r="K16" s="74">
        <f>139.6+151.3+142.1+107.9+116.2+102.2+48.8+114.3+145.9+77.1+137.8+81.2+117.2+140.6+81.6+82.5+125.1+139.6+78.4+88.1+122.7+150.1</f>
        <v>2490.2999999999993</v>
      </c>
      <c r="L16" s="74">
        <f>4789.6-K16</f>
        <v>2299.300000000001</v>
      </c>
    </row>
    <row r="17" spans="1:14" s="59" customFormat="1" ht="14.25">
      <c r="A17" s="75" t="s">
        <v>14</v>
      </c>
      <c r="B17" s="41" t="s">
        <v>15</v>
      </c>
      <c r="C17" s="97">
        <f>C18+C19+C20+C21</f>
        <v>10.370000000000001</v>
      </c>
      <c r="D17" s="76">
        <v>595788</v>
      </c>
      <c r="E17" s="76">
        <v>597915.88</v>
      </c>
      <c r="F17" s="76">
        <f aca="true" t="shared" si="0" ref="F17:F23">D17</f>
        <v>595788</v>
      </c>
      <c r="G17" s="77">
        <f>D17-E17</f>
        <v>-2127.8800000000047</v>
      </c>
      <c r="H17" s="335">
        <f>C17</f>
        <v>10.370000000000001</v>
      </c>
      <c r="I17" s="79"/>
      <c r="J17" s="79"/>
      <c r="K17" s="79">
        <v>10.39</v>
      </c>
      <c r="L17" s="79">
        <v>10.34</v>
      </c>
      <c r="M17" s="335">
        <f>((K17*K16)+(L17*L16))/4789.6</f>
        <v>10.365996951728746</v>
      </c>
      <c r="N17" s="80"/>
    </row>
    <row r="18" spans="1:13" s="59" customFormat="1" ht="15">
      <c r="A18" s="81" t="s">
        <v>16</v>
      </c>
      <c r="B18" s="34" t="s">
        <v>17</v>
      </c>
      <c r="C18" s="82">
        <v>3.46</v>
      </c>
      <c r="D18" s="83">
        <f>D17*I18</f>
        <v>198787.5101253616</v>
      </c>
      <c r="E18" s="83">
        <f>E17*I18</f>
        <v>199497.48744455155</v>
      </c>
      <c r="F18" s="83">
        <f t="shared" si="0"/>
        <v>198787.5101253616</v>
      </c>
      <c r="G18" s="84">
        <f>D18-E18</f>
        <v>-709.9773191899585</v>
      </c>
      <c r="H18" s="78">
        <f>C18</f>
        <v>3.46</v>
      </c>
      <c r="I18" s="59">
        <f>H18/H17</f>
        <v>0.3336547733847637</v>
      </c>
      <c r="K18" s="59">
        <v>3.46</v>
      </c>
      <c r="L18" s="59">
        <v>3.46</v>
      </c>
      <c r="M18" s="80">
        <f>(K16+L16)*L18/4789.6</f>
        <v>3.4599999999999995</v>
      </c>
    </row>
    <row r="19" spans="1:13" s="59" customFormat="1" ht="15">
      <c r="A19" s="81" t="s">
        <v>18</v>
      </c>
      <c r="B19" s="34" t="s">
        <v>19</v>
      </c>
      <c r="C19" s="82">
        <v>1.69</v>
      </c>
      <c r="D19" s="83">
        <f>D17*I19</f>
        <v>97095.63355834136</v>
      </c>
      <c r="E19" s="83">
        <f>E17*I19</f>
        <v>97442.41438765668</v>
      </c>
      <c r="F19" s="83">
        <f t="shared" si="0"/>
        <v>97095.63355834136</v>
      </c>
      <c r="G19" s="84">
        <f>D19-E19</f>
        <v>-346.78082931532117</v>
      </c>
      <c r="H19" s="78">
        <f>C19</f>
        <v>1.69</v>
      </c>
      <c r="I19" s="59">
        <f>H19/H17</f>
        <v>0.16297010607521695</v>
      </c>
      <c r="K19" s="59">
        <v>1.69</v>
      </c>
      <c r="L19" s="59">
        <v>1.69</v>
      </c>
      <c r="M19" s="80">
        <f>(K16+L16)*L19/4789.6</f>
        <v>1.69</v>
      </c>
    </row>
    <row r="20" spans="1:13" s="59" customFormat="1" ht="15">
      <c r="A20" s="81" t="s">
        <v>20</v>
      </c>
      <c r="B20" s="34" t="s">
        <v>21</v>
      </c>
      <c r="C20" s="82">
        <v>2.18</v>
      </c>
      <c r="D20" s="83">
        <f>D17*I20</f>
        <v>125247.62198649952</v>
      </c>
      <c r="E20" s="83">
        <f>E17*I20</f>
        <v>125694.9487367406</v>
      </c>
      <c r="F20" s="83">
        <f t="shared" si="0"/>
        <v>125247.62198649952</v>
      </c>
      <c r="G20" s="84">
        <f>D20-E20</f>
        <v>-447.3267502410745</v>
      </c>
      <c r="H20" s="78">
        <v>2.18</v>
      </c>
      <c r="I20" s="59">
        <f>H20/H17</f>
        <v>0.210221793635487</v>
      </c>
      <c r="K20" s="59">
        <v>2.2</v>
      </c>
      <c r="L20" s="59">
        <v>2.15</v>
      </c>
      <c r="M20" s="80">
        <f>((K20*K16)+(L20*L16))/4789.6</f>
        <v>2.1759969517287456</v>
      </c>
    </row>
    <row r="21" spans="1:13" s="59" customFormat="1" ht="15">
      <c r="A21" s="81" t="s">
        <v>22</v>
      </c>
      <c r="B21" s="34" t="s">
        <v>23</v>
      </c>
      <c r="C21" s="82">
        <v>3.04</v>
      </c>
      <c r="D21" s="83">
        <f>D17*I21</f>
        <v>174657.23432979747</v>
      </c>
      <c r="E21" s="83">
        <f>E17*I21</f>
        <v>175281.02943105108</v>
      </c>
      <c r="F21" s="83">
        <f t="shared" si="0"/>
        <v>174657.23432979747</v>
      </c>
      <c r="G21" s="84">
        <f>D21-E21</f>
        <v>-623.7951012536068</v>
      </c>
      <c r="H21" s="78">
        <v>3.04</v>
      </c>
      <c r="I21" s="59">
        <f>H21/H17</f>
        <v>0.2931533269045323</v>
      </c>
      <c r="K21" s="59">
        <v>3.04</v>
      </c>
      <c r="L21" s="59">
        <v>3.04</v>
      </c>
      <c r="M21" s="80">
        <f>((K21*K16)+(L21*L16))/4789.6</f>
        <v>3.04</v>
      </c>
    </row>
    <row r="22" spans="1:11" s="89" customFormat="1" ht="14.25">
      <c r="A22" s="86" t="s">
        <v>25</v>
      </c>
      <c r="B22" s="86" t="s">
        <v>209</v>
      </c>
      <c r="C22" s="46">
        <v>0</v>
      </c>
      <c r="D22" s="87">
        <v>0</v>
      </c>
      <c r="E22" s="87">
        <v>0</v>
      </c>
      <c r="F22" s="87">
        <v>0</v>
      </c>
      <c r="G22" s="77">
        <f aca="true" t="shared" si="1" ref="G22:G31">D22-E22</f>
        <v>0</v>
      </c>
      <c r="H22" s="88"/>
      <c r="I22" s="88"/>
      <c r="J22" s="88"/>
      <c r="K22" s="88"/>
    </row>
    <row r="23" spans="1:11" s="89" customFormat="1" ht="14.25">
      <c r="A23" s="86" t="s">
        <v>27</v>
      </c>
      <c r="B23" s="86" t="s">
        <v>320</v>
      </c>
      <c r="C23" s="46" t="s">
        <v>807</v>
      </c>
      <c r="D23" s="87">
        <v>73440</v>
      </c>
      <c r="E23" s="87">
        <v>74569.77</v>
      </c>
      <c r="F23" s="87">
        <f t="shared" si="0"/>
        <v>73440</v>
      </c>
      <c r="G23" s="77">
        <f t="shared" si="1"/>
        <v>-1129.770000000004</v>
      </c>
      <c r="H23" s="88"/>
      <c r="I23" s="88"/>
      <c r="J23" s="88"/>
      <c r="K23" s="88"/>
    </row>
    <row r="24" spans="1:11" s="89" customFormat="1" ht="14.25">
      <c r="A24" s="86" t="s">
        <v>29</v>
      </c>
      <c r="B24" s="86" t="s">
        <v>26</v>
      </c>
      <c r="C24" s="46">
        <v>0</v>
      </c>
      <c r="D24" s="87">
        <v>0</v>
      </c>
      <c r="E24" s="87">
        <v>0</v>
      </c>
      <c r="F24" s="87">
        <v>0</v>
      </c>
      <c r="G24" s="77">
        <f t="shared" si="1"/>
        <v>0</v>
      </c>
      <c r="H24" s="88"/>
      <c r="I24" s="88"/>
      <c r="J24" s="88"/>
      <c r="K24" s="88"/>
    </row>
    <row r="25" spans="1:11" s="89" customFormat="1" ht="14.25">
      <c r="A25" s="86" t="s">
        <v>31</v>
      </c>
      <c r="B25" s="86" t="s">
        <v>116</v>
      </c>
      <c r="C25" s="95">
        <v>2.06</v>
      </c>
      <c r="D25" s="87">
        <v>118398.96</v>
      </c>
      <c r="E25" s="87">
        <v>118819.45</v>
      </c>
      <c r="F25" s="87">
        <f>F39</f>
        <v>137946.82450000002</v>
      </c>
      <c r="G25" s="77">
        <f t="shared" si="1"/>
        <v>-420.4899999999907</v>
      </c>
      <c r="H25" s="88"/>
      <c r="I25" s="88"/>
      <c r="J25" s="88"/>
      <c r="K25" s="88"/>
    </row>
    <row r="26" spans="1:11" ht="14.25">
      <c r="A26" s="41" t="s">
        <v>33</v>
      </c>
      <c r="B26" s="41" t="s">
        <v>161</v>
      </c>
      <c r="C26" s="97"/>
      <c r="D26" s="77">
        <v>0</v>
      </c>
      <c r="E26" s="77">
        <v>0</v>
      </c>
      <c r="F26" s="87">
        <f>D26</f>
        <v>0</v>
      </c>
      <c r="G26" s="77">
        <f t="shared" si="1"/>
        <v>0</v>
      </c>
      <c r="H26" s="98"/>
      <c r="I26" s="98"/>
      <c r="J26" s="98"/>
      <c r="K26" s="98"/>
    </row>
    <row r="27" spans="1:11" ht="14.25">
      <c r="A27" s="41" t="s">
        <v>35</v>
      </c>
      <c r="B27" s="41" t="s">
        <v>36</v>
      </c>
      <c r="C27" s="97"/>
      <c r="D27" s="77">
        <f>SUM(D28:D31)</f>
        <v>252010.68</v>
      </c>
      <c r="E27" s="77">
        <f>SUM(E28:E31)</f>
        <v>250434.42</v>
      </c>
      <c r="F27" s="77">
        <f>SUM(F28:F31)</f>
        <v>252010.68</v>
      </c>
      <c r="G27" s="77">
        <f t="shared" si="1"/>
        <v>1576.2599999999802</v>
      </c>
      <c r="H27" s="98"/>
      <c r="I27" s="98"/>
      <c r="J27" s="98"/>
      <c r="K27" s="98"/>
    </row>
    <row r="28" spans="1:7" ht="15">
      <c r="A28" s="34" t="s">
        <v>37</v>
      </c>
      <c r="B28" s="34" t="s">
        <v>165</v>
      </c>
      <c r="C28" s="285">
        <v>6</v>
      </c>
      <c r="D28" s="84">
        <v>40658.52</v>
      </c>
      <c r="E28" s="84">
        <v>40772.57</v>
      </c>
      <c r="F28" s="84">
        <f>D28</f>
        <v>40658.52</v>
      </c>
      <c r="G28" s="84">
        <f t="shared" si="1"/>
        <v>-114.05000000000291</v>
      </c>
    </row>
    <row r="29" spans="1:7" ht="15">
      <c r="A29" s="34" t="s">
        <v>39</v>
      </c>
      <c r="B29" s="34" t="s">
        <v>137</v>
      </c>
      <c r="C29" s="285">
        <v>57.08</v>
      </c>
      <c r="D29" s="84">
        <v>177942.96</v>
      </c>
      <c r="E29" s="84">
        <v>176159.47</v>
      </c>
      <c r="F29" s="84">
        <f>D29</f>
        <v>177942.96</v>
      </c>
      <c r="G29" s="84">
        <f t="shared" si="1"/>
        <v>1783.4899999999907</v>
      </c>
    </row>
    <row r="30" spans="1:7" ht="15">
      <c r="A30" s="34" t="s">
        <v>42</v>
      </c>
      <c r="B30" s="51" t="s">
        <v>340</v>
      </c>
      <c r="C30" s="286">
        <v>211.65</v>
      </c>
      <c r="D30" s="84">
        <v>33409.2</v>
      </c>
      <c r="E30" s="84">
        <v>33502.38</v>
      </c>
      <c r="F30" s="84">
        <f>D30</f>
        <v>33409.2</v>
      </c>
      <c r="G30" s="84">
        <f t="shared" si="1"/>
        <v>-93.18000000000029</v>
      </c>
    </row>
    <row r="31" spans="1:7" s="272" customFormat="1" ht="15">
      <c r="A31" s="267" t="s">
        <v>41</v>
      </c>
      <c r="B31" s="267" t="s">
        <v>43</v>
      </c>
      <c r="C31" s="143">
        <v>0</v>
      </c>
      <c r="D31" s="210">
        <v>0</v>
      </c>
      <c r="E31" s="210">
        <v>0</v>
      </c>
      <c r="F31" s="210">
        <f>D31</f>
        <v>0</v>
      </c>
      <c r="G31" s="84">
        <f t="shared" si="1"/>
        <v>0</v>
      </c>
    </row>
    <row r="32" spans="1:9" s="102" customFormat="1" ht="19.5" customHeight="1" thickBot="1">
      <c r="A32" s="446"/>
      <c r="B32" s="447"/>
      <c r="C32" s="447"/>
      <c r="D32" s="448"/>
      <c r="E32" s="448"/>
      <c r="F32" s="448"/>
      <c r="G32" s="101"/>
      <c r="H32" s="101"/>
      <c r="I32" s="101"/>
    </row>
    <row r="33" spans="1:9" s="67" customFormat="1" ht="15.75" thickBot="1">
      <c r="A33" s="455" t="s">
        <v>413</v>
      </c>
      <c r="B33" s="456"/>
      <c r="C33" s="456"/>
      <c r="D33" s="280">
        <v>169718.14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336</v>
      </c>
      <c r="B35" s="64"/>
      <c r="C35" s="64"/>
      <c r="D35" s="69"/>
      <c r="E35" s="70"/>
      <c r="F35" s="70"/>
      <c r="G35" s="144">
        <f>G14+E25-F25</f>
        <v>-42492.47810000001</v>
      </c>
      <c r="H35" s="62"/>
      <c r="I35" s="62"/>
    </row>
    <row r="36" spans="1:11" ht="31.5" customHeight="1">
      <c r="A36" s="616" t="s">
        <v>179</v>
      </c>
      <c r="B36" s="617"/>
      <c r="C36" s="617"/>
      <c r="D36" s="617"/>
      <c r="E36" s="617"/>
      <c r="F36" s="617"/>
      <c r="G36" s="617"/>
      <c r="H36" s="58"/>
      <c r="I36" s="58"/>
      <c r="J36" s="58"/>
      <c r="K36" s="58"/>
    </row>
    <row r="38" spans="1:12" s="74" customFormat="1" ht="37.5" customHeight="1">
      <c r="A38" s="105" t="s">
        <v>11</v>
      </c>
      <c r="B38" s="471" t="s">
        <v>45</v>
      </c>
      <c r="C38" s="484"/>
      <c r="D38" s="105" t="s">
        <v>163</v>
      </c>
      <c r="E38" s="105" t="s">
        <v>162</v>
      </c>
      <c r="F38" s="471" t="s">
        <v>46</v>
      </c>
      <c r="G38" s="484"/>
      <c r="H38" s="244"/>
      <c r="I38" s="245"/>
      <c r="L38" s="108"/>
    </row>
    <row r="39" spans="1:12" s="114" customFormat="1" ht="15" customHeight="1">
      <c r="A39" s="109" t="s">
        <v>47</v>
      </c>
      <c r="B39" s="473" t="s">
        <v>111</v>
      </c>
      <c r="C39" s="491"/>
      <c r="D39" s="110"/>
      <c r="E39" s="110"/>
      <c r="F39" s="496">
        <f>SUM(F40:G46)</f>
        <v>137946.82450000002</v>
      </c>
      <c r="G39" s="483"/>
      <c r="H39" s="246"/>
      <c r="I39" s="247"/>
      <c r="L39" s="115"/>
    </row>
    <row r="40" spans="1:12" ht="15">
      <c r="A40" s="34" t="s">
        <v>16</v>
      </c>
      <c r="B40" s="462" t="s">
        <v>788</v>
      </c>
      <c r="C40" s="489"/>
      <c r="D40" s="403" t="s">
        <v>217</v>
      </c>
      <c r="E40" s="403">
        <v>0.02</v>
      </c>
      <c r="F40" s="624">
        <v>79941.43</v>
      </c>
      <c r="G40" s="625"/>
      <c r="H40" s="248"/>
      <c r="I40" s="249"/>
      <c r="L40" s="119"/>
    </row>
    <row r="41" spans="1:12" ht="15">
      <c r="A41" s="34" t="s">
        <v>18</v>
      </c>
      <c r="B41" s="462" t="s">
        <v>789</v>
      </c>
      <c r="C41" s="489"/>
      <c r="D41" s="403" t="s">
        <v>216</v>
      </c>
      <c r="E41" s="403">
        <v>0.21</v>
      </c>
      <c r="F41" s="624">
        <v>20214.76</v>
      </c>
      <c r="G41" s="625"/>
      <c r="H41" s="40"/>
      <c r="I41" s="40"/>
      <c r="L41" s="119"/>
    </row>
    <row r="42" spans="1:12" ht="15">
      <c r="A42" s="34" t="s">
        <v>20</v>
      </c>
      <c r="B42" s="462" t="s">
        <v>790</v>
      </c>
      <c r="C42" s="489"/>
      <c r="D42" s="403" t="s">
        <v>164</v>
      </c>
      <c r="E42" s="403">
        <v>1</v>
      </c>
      <c r="F42" s="624">
        <v>5602.44</v>
      </c>
      <c r="G42" s="625"/>
      <c r="H42" s="40"/>
      <c r="I42" s="40"/>
      <c r="L42" s="119"/>
    </row>
    <row r="43" spans="1:12" ht="15">
      <c r="A43" s="34" t="s">
        <v>22</v>
      </c>
      <c r="B43" s="462" t="s">
        <v>663</v>
      </c>
      <c r="C43" s="489"/>
      <c r="D43" s="403"/>
      <c r="E43" s="403"/>
      <c r="F43" s="624">
        <v>12000</v>
      </c>
      <c r="G43" s="625"/>
      <c r="H43" s="40"/>
      <c r="I43" s="40"/>
      <c r="L43" s="119"/>
    </row>
    <row r="44" spans="1:12" ht="15">
      <c r="A44" s="34" t="s">
        <v>24</v>
      </c>
      <c r="B44" s="462" t="s">
        <v>791</v>
      </c>
      <c r="C44" s="489"/>
      <c r="D44" s="403"/>
      <c r="E44" s="403"/>
      <c r="F44" s="624">
        <v>5000</v>
      </c>
      <c r="G44" s="625"/>
      <c r="H44" s="40"/>
      <c r="I44" s="40"/>
      <c r="L44" s="119"/>
    </row>
    <row r="45" spans="1:12" ht="15">
      <c r="A45" s="34" t="s">
        <v>103</v>
      </c>
      <c r="B45" s="449" t="s">
        <v>814</v>
      </c>
      <c r="C45" s="451"/>
      <c r="D45" s="118" t="s">
        <v>391</v>
      </c>
      <c r="E45" s="118">
        <v>5</v>
      </c>
      <c r="F45" s="523">
        <v>14000</v>
      </c>
      <c r="G45" s="524"/>
      <c r="H45" s="40"/>
      <c r="I45" s="40"/>
      <c r="L45" s="119"/>
    </row>
    <row r="46" spans="1:11" s="67" customFormat="1" ht="15">
      <c r="A46" s="34" t="s">
        <v>104</v>
      </c>
      <c r="B46" s="511" t="s">
        <v>188</v>
      </c>
      <c r="C46" s="512"/>
      <c r="D46" s="123"/>
      <c r="E46" s="123"/>
      <c r="F46" s="495">
        <f>E25*1%</f>
        <v>1188.1945</v>
      </c>
      <c r="G46" s="495"/>
      <c r="H46" s="59"/>
      <c r="I46" s="59"/>
      <c r="J46" s="59"/>
      <c r="K46" s="59"/>
    </row>
    <row r="47" s="59" customFormat="1" ht="9" customHeight="1"/>
    <row r="48" spans="1:11" s="59" customFormat="1" ht="15">
      <c r="A48" s="67" t="s">
        <v>55</v>
      </c>
      <c r="B48" s="67"/>
      <c r="C48" s="125" t="s">
        <v>49</v>
      </c>
      <c r="D48" s="67"/>
      <c r="E48" s="67"/>
      <c r="F48" s="67" t="s">
        <v>90</v>
      </c>
      <c r="G48" s="67"/>
      <c r="H48" s="67"/>
      <c r="I48" s="67"/>
      <c r="J48" s="67"/>
      <c r="K48" s="67"/>
    </row>
    <row r="49" spans="1:7" s="59" customFormat="1" ht="15">
      <c r="A49" s="67"/>
      <c r="B49" s="67"/>
      <c r="C49" s="125"/>
      <c r="D49" s="67"/>
      <c r="E49" s="67"/>
      <c r="F49" s="126" t="s">
        <v>545</v>
      </c>
      <c r="G49" s="67"/>
    </row>
    <row r="50" spans="1:10" s="59" customFormat="1" ht="15">
      <c r="A50" s="67" t="s">
        <v>50</v>
      </c>
      <c r="B50" s="67"/>
      <c r="C50" s="125"/>
      <c r="D50" s="67"/>
      <c r="E50" s="67"/>
      <c r="F50" s="67"/>
      <c r="G50" s="67"/>
      <c r="H50" s="156"/>
      <c r="I50" s="156"/>
      <c r="J50" s="156"/>
    </row>
    <row r="51" spans="1:11" ht="15">
      <c r="A51" s="67"/>
      <c r="B51" s="67"/>
      <c r="C51" s="127" t="s">
        <v>51</v>
      </c>
      <c r="D51" s="67"/>
      <c r="E51" s="128"/>
      <c r="F51" s="128"/>
      <c r="G51" s="128"/>
      <c r="H51" s="59"/>
      <c r="I51" s="59"/>
      <c r="J51" s="59"/>
      <c r="K51" s="59"/>
    </row>
    <row r="52" spans="1:11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</row>
  </sheetData>
  <sheetProtection/>
  <mergeCells count="28">
    <mergeCell ref="B45:C45"/>
    <mergeCell ref="F45:G45"/>
    <mergeCell ref="B44:C44"/>
    <mergeCell ref="F42:G42"/>
    <mergeCell ref="F43:G43"/>
    <mergeCell ref="F44:G44"/>
    <mergeCell ref="A1:K1"/>
    <mergeCell ref="A2:K2"/>
    <mergeCell ref="A3:K3"/>
    <mergeCell ref="A5:K5"/>
    <mergeCell ref="A10:K10"/>
    <mergeCell ref="A11:K11"/>
    <mergeCell ref="A12:K12"/>
    <mergeCell ref="A32:F32"/>
    <mergeCell ref="A33:C33"/>
    <mergeCell ref="A36:G36"/>
    <mergeCell ref="B38:C38"/>
    <mergeCell ref="F38:G38"/>
    <mergeCell ref="B46:C46"/>
    <mergeCell ref="F46:G46"/>
    <mergeCell ref="B39:C39"/>
    <mergeCell ref="F39:G39"/>
    <mergeCell ref="B40:C40"/>
    <mergeCell ref="F40:G40"/>
    <mergeCell ref="B41:C41"/>
    <mergeCell ref="F41:G41"/>
    <mergeCell ref="B42:C42"/>
    <mergeCell ref="B43:C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7030A0"/>
  </sheetPr>
  <dimension ref="A1:N46"/>
  <sheetViews>
    <sheetView zoomScalePageLayoutView="0" workbookViewId="0" topLeftCell="A32">
      <selection activeCell="A14" sqref="A1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10" s="59" customFormat="1" ht="16.5" customHeight="1">
      <c r="A7" s="59" t="s">
        <v>2</v>
      </c>
      <c r="F7" s="60" t="s">
        <v>491</v>
      </c>
      <c r="H7" s="60"/>
      <c r="I7" s="61">
        <f>J8-J7</f>
        <v>-5.109999999999673</v>
      </c>
      <c r="J7" s="59">
        <v>3190</v>
      </c>
    </row>
    <row r="8" spans="1:10" s="59" customFormat="1" ht="12.75">
      <c r="A8" s="59" t="s">
        <v>3</v>
      </c>
      <c r="F8" s="301" t="s">
        <v>492</v>
      </c>
      <c r="H8" s="304">
        <v>2949.09</v>
      </c>
      <c r="I8" s="61">
        <f>171.1+64.7</f>
        <v>235.8</v>
      </c>
      <c r="J8" s="61">
        <f>H8+I8</f>
        <v>3184.8900000000003</v>
      </c>
    </row>
    <row r="9" spans="1:11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808</v>
      </c>
      <c r="B13" s="64"/>
      <c r="C13" s="64"/>
      <c r="D13" s="69"/>
      <c r="E13" s="70"/>
      <c r="F13" s="70"/>
      <c r="G13" s="65">
        <v>0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4" s="59" customFormat="1" ht="14.25">
      <c r="A16" s="75" t="s">
        <v>14</v>
      </c>
      <c r="B16" s="41" t="s">
        <v>15</v>
      </c>
      <c r="C16" s="97">
        <f>C17+C18+C19+C20</f>
        <v>9.879999999999999</v>
      </c>
      <c r="D16" s="76">
        <v>188875.32</v>
      </c>
      <c r="E16" s="76">
        <v>155680.84</v>
      </c>
      <c r="F16" s="76">
        <f aca="true" t="shared" si="0" ref="F16:F22">D16</f>
        <v>188875.32</v>
      </c>
      <c r="G16" s="77">
        <f>D16-E16</f>
        <v>33194.48000000001</v>
      </c>
      <c r="H16" s="78">
        <f>C16</f>
        <v>9.879999999999999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66144.59587044535</v>
      </c>
      <c r="E17" s="83">
        <f>E16*I17</f>
        <v>54519.80834008098</v>
      </c>
      <c r="F17" s="83">
        <f t="shared" si="0"/>
        <v>66144.59587044535</v>
      </c>
      <c r="G17" s="84">
        <f>D17-E17</f>
        <v>11624.787530364374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32307.62052631579</v>
      </c>
      <c r="E18" s="83">
        <f>E16*I18</f>
        <v>26629.61736842105</v>
      </c>
      <c r="F18" s="83">
        <f t="shared" si="0"/>
        <v>32307.62052631579</v>
      </c>
      <c r="G18" s="84">
        <f>D18-E18</f>
        <v>5678.003157894738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82">
        <v>1.69</v>
      </c>
      <c r="D19" s="83">
        <f>D16*I19</f>
        <v>32307.62052631579</v>
      </c>
      <c r="E19" s="83">
        <f>E16*I19</f>
        <v>26629.61736842105</v>
      </c>
      <c r="F19" s="83">
        <f t="shared" si="0"/>
        <v>32307.62052631579</v>
      </c>
      <c r="G19" s="84">
        <f>D19-E19</f>
        <v>5678.003157894738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58115.48307692308</v>
      </c>
      <c r="E20" s="83">
        <f>E16*I20</f>
        <v>47901.79692307692</v>
      </c>
      <c r="F20" s="83">
        <f t="shared" si="0"/>
        <v>58115.48307692308</v>
      </c>
      <c r="G20" s="84">
        <f>D20-E20</f>
        <v>10213.68615384616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209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371</v>
      </c>
      <c r="C22" s="46" t="s">
        <v>798</v>
      </c>
      <c r="D22" s="87">
        <v>39740.14</v>
      </c>
      <c r="E22" s="87">
        <v>35040.6</v>
      </c>
      <c r="F22" s="87">
        <f t="shared" si="0"/>
        <v>39740.14</v>
      </c>
      <c r="G22" s="77">
        <f t="shared" si="1"/>
        <v>4699.540000000001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26</v>
      </c>
      <c r="C23" s="46">
        <v>0</v>
      </c>
      <c r="D23" s="87">
        <v>0</v>
      </c>
      <c r="E23" s="87">
        <v>0</v>
      </c>
      <c r="F23" s="87"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1.86</v>
      </c>
      <c r="D24" s="87">
        <v>35543.39</v>
      </c>
      <c r="E24" s="87">
        <v>29296.75</v>
      </c>
      <c r="F24" s="87">
        <f>F38</f>
        <v>292.96750000000003</v>
      </c>
      <c r="G24" s="77">
        <f t="shared" si="1"/>
        <v>6246.639999999999</v>
      </c>
      <c r="H24" s="88"/>
      <c r="I24" s="88"/>
      <c r="J24" s="88"/>
      <c r="K24" s="88"/>
    </row>
    <row r="25" spans="1:11" ht="14.25">
      <c r="A25" s="41" t="s">
        <v>33</v>
      </c>
      <c r="B25" s="41" t="s">
        <v>161</v>
      </c>
      <c r="C25" s="97">
        <v>12.54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20039.14</v>
      </c>
      <c r="E26" s="77">
        <f>SUM(E27:E30)</f>
        <v>16518.94</v>
      </c>
      <c r="F26" s="77">
        <f>SUM(F27:F30)</f>
        <v>20039.14</v>
      </c>
      <c r="G26" s="77">
        <f t="shared" si="1"/>
        <v>3520.2000000000007</v>
      </c>
      <c r="H26" s="98"/>
      <c r="I26" s="98"/>
      <c r="J26" s="98"/>
      <c r="K26" s="98"/>
    </row>
    <row r="27" spans="1:7" ht="15">
      <c r="A27" s="34" t="s">
        <v>37</v>
      </c>
      <c r="B27" s="34" t="s">
        <v>165</v>
      </c>
      <c r="C27" s="285">
        <v>6</v>
      </c>
      <c r="D27" s="84">
        <v>17056.92</v>
      </c>
      <c r="E27" s="84">
        <v>14059.13</v>
      </c>
      <c r="F27" s="84">
        <f>D27</f>
        <v>17056.92</v>
      </c>
      <c r="G27" s="84">
        <f t="shared" si="1"/>
        <v>2997.789999999999</v>
      </c>
    </row>
    <row r="28" spans="1:7" ht="15">
      <c r="A28" s="34" t="s">
        <v>39</v>
      </c>
      <c r="B28" s="34" t="s">
        <v>137</v>
      </c>
      <c r="C28" s="285">
        <v>57.08</v>
      </c>
      <c r="D28" s="84">
        <v>2982.22</v>
      </c>
      <c r="E28" s="84">
        <v>2459.81</v>
      </c>
      <c r="F28" s="84">
        <f>D28</f>
        <v>2982.22</v>
      </c>
      <c r="G28" s="84">
        <f t="shared" si="1"/>
        <v>522.4099999999999</v>
      </c>
    </row>
    <row r="29" spans="1:7" ht="15">
      <c r="A29" s="34" t="s">
        <v>42</v>
      </c>
      <c r="B29" s="51" t="s">
        <v>340</v>
      </c>
      <c r="C29" s="286">
        <v>0</v>
      </c>
      <c r="D29" s="84">
        <v>0</v>
      </c>
      <c r="E29" s="84">
        <v>0</v>
      </c>
      <c r="F29" s="84">
        <v>0</v>
      </c>
      <c r="G29" s="84">
        <f t="shared" si="1"/>
        <v>0</v>
      </c>
    </row>
    <row r="30" spans="1:7" s="272" customFormat="1" ht="15">
      <c r="A30" s="267" t="s">
        <v>41</v>
      </c>
      <c r="B30" s="267" t="s">
        <v>43</v>
      </c>
      <c r="C30" s="143">
        <v>0</v>
      </c>
      <c r="D30" s="210">
        <v>0</v>
      </c>
      <c r="E30" s="210">
        <v>0</v>
      </c>
      <c r="F30" s="210">
        <f>D30</f>
        <v>0</v>
      </c>
      <c r="G30" s="84">
        <f t="shared" si="1"/>
        <v>0</v>
      </c>
    </row>
    <row r="31" spans="1:9" s="102" customFormat="1" ht="19.5" customHeight="1" thickBot="1">
      <c r="A31" s="446" t="s">
        <v>294</v>
      </c>
      <c r="B31" s="447"/>
      <c r="C31" s="447"/>
      <c r="D31" s="448"/>
      <c r="E31" s="448"/>
      <c r="F31" s="448"/>
      <c r="G31" s="101"/>
      <c r="H31" s="101"/>
      <c r="I31" s="101"/>
    </row>
    <row r="32" spans="1:9" s="67" customFormat="1" ht="15.75" thickBot="1">
      <c r="A32" s="455" t="s">
        <v>413</v>
      </c>
      <c r="B32" s="456"/>
      <c r="C32" s="456"/>
      <c r="D32" s="71">
        <v>173917.37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415</v>
      </c>
      <c r="B34" s="64"/>
      <c r="C34" s="64"/>
      <c r="D34" s="69"/>
      <c r="E34" s="70"/>
      <c r="F34" s="70"/>
      <c r="G34" s="306">
        <f>G13+E24-F24</f>
        <v>29003.7825</v>
      </c>
      <c r="H34" s="62"/>
      <c r="I34" s="62"/>
    </row>
    <row r="35" spans="1:11" ht="31.5" customHeight="1">
      <c r="A35" s="616" t="s">
        <v>179</v>
      </c>
      <c r="B35" s="617"/>
      <c r="C35" s="617"/>
      <c r="D35" s="617"/>
      <c r="E35" s="617"/>
      <c r="F35" s="617"/>
      <c r="G35" s="617"/>
      <c r="H35" s="58"/>
      <c r="I35" s="58"/>
      <c r="J35" s="58"/>
      <c r="K35" s="58"/>
    </row>
    <row r="37" spans="1:12" s="74" customFormat="1" ht="37.5" customHeight="1">
      <c r="A37" s="105" t="s">
        <v>11</v>
      </c>
      <c r="B37" s="471" t="s">
        <v>45</v>
      </c>
      <c r="C37" s="484"/>
      <c r="D37" s="105" t="s">
        <v>163</v>
      </c>
      <c r="E37" s="105" t="s">
        <v>162</v>
      </c>
      <c r="F37" s="471" t="s">
        <v>46</v>
      </c>
      <c r="G37" s="484"/>
      <c r="H37" s="244"/>
      <c r="I37" s="245"/>
      <c r="L37" s="108"/>
    </row>
    <row r="38" spans="1:12" s="114" customFormat="1" ht="15" customHeight="1">
      <c r="A38" s="109" t="s">
        <v>47</v>
      </c>
      <c r="B38" s="473" t="s">
        <v>111</v>
      </c>
      <c r="C38" s="491"/>
      <c r="D38" s="110"/>
      <c r="E38" s="110"/>
      <c r="F38" s="496">
        <f>SUM(F39:G40)</f>
        <v>292.96750000000003</v>
      </c>
      <c r="G38" s="483"/>
      <c r="H38" s="246"/>
      <c r="I38" s="247"/>
      <c r="L38" s="115"/>
    </row>
    <row r="39" spans="1:12" ht="15">
      <c r="A39" s="34" t="s">
        <v>16</v>
      </c>
      <c r="B39" s="449"/>
      <c r="C39" s="451"/>
      <c r="D39" s="118"/>
      <c r="E39" s="118"/>
      <c r="F39" s="523"/>
      <c r="G39" s="524"/>
      <c r="H39" s="248"/>
      <c r="I39" s="249"/>
      <c r="L39" s="119"/>
    </row>
    <row r="40" spans="1:11" s="67" customFormat="1" ht="15">
      <c r="A40" s="34" t="s">
        <v>18</v>
      </c>
      <c r="B40" s="511" t="s">
        <v>188</v>
      </c>
      <c r="C40" s="512"/>
      <c r="D40" s="123"/>
      <c r="E40" s="123"/>
      <c r="F40" s="495">
        <f>E24*1%</f>
        <v>292.96750000000003</v>
      </c>
      <c r="G40" s="495"/>
      <c r="H40" s="59"/>
      <c r="I40" s="59"/>
      <c r="J40" s="59"/>
      <c r="K40" s="59"/>
    </row>
    <row r="41" s="59" customFormat="1" ht="9" customHeight="1"/>
    <row r="42" spans="1:11" s="59" customFormat="1" ht="15">
      <c r="A42" s="67" t="s">
        <v>55</v>
      </c>
      <c r="B42" s="67"/>
      <c r="C42" s="125" t="s">
        <v>49</v>
      </c>
      <c r="D42" s="67"/>
      <c r="E42" s="67"/>
      <c r="F42" s="67" t="s">
        <v>90</v>
      </c>
      <c r="G42" s="67"/>
      <c r="H42" s="67"/>
      <c r="I42" s="67"/>
      <c r="J42" s="67"/>
      <c r="K42" s="67"/>
    </row>
    <row r="43" spans="1:7" s="59" customFormat="1" ht="15">
      <c r="A43" s="67"/>
      <c r="B43" s="67"/>
      <c r="C43" s="125"/>
      <c r="D43" s="67"/>
      <c r="E43" s="67"/>
      <c r="F43" s="126" t="s">
        <v>545</v>
      </c>
      <c r="G43" s="67"/>
    </row>
    <row r="44" spans="1:10" s="59" customFormat="1" ht="15">
      <c r="A44" s="67" t="s">
        <v>50</v>
      </c>
      <c r="B44" s="67"/>
      <c r="C44" s="125"/>
      <c r="D44" s="67"/>
      <c r="E44" s="67"/>
      <c r="F44" s="67"/>
      <c r="G44" s="67"/>
      <c r="H44" s="156"/>
      <c r="I44" s="156"/>
      <c r="J44" s="156"/>
    </row>
    <row r="45" spans="1:11" ht="15">
      <c r="A45" s="67"/>
      <c r="B45" s="67"/>
      <c r="C45" s="127" t="s">
        <v>51</v>
      </c>
      <c r="D45" s="67"/>
      <c r="E45" s="128"/>
      <c r="F45" s="128"/>
      <c r="G45" s="128"/>
      <c r="H45" s="59"/>
      <c r="I45" s="59"/>
      <c r="J45" s="59"/>
      <c r="K45" s="59"/>
    </row>
    <row r="46" spans="1:11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</row>
  </sheetData>
  <sheetProtection/>
  <mergeCells count="18">
    <mergeCell ref="A1:K1"/>
    <mergeCell ref="A2:K2"/>
    <mergeCell ref="A3:K3"/>
    <mergeCell ref="A5:K5"/>
    <mergeCell ref="A9:K9"/>
    <mergeCell ref="A10:K10"/>
    <mergeCell ref="A11:K11"/>
    <mergeCell ref="A31:F31"/>
    <mergeCell ref="A32:C32"/>
    <mergeCell ref="A35:G35"/>
    <mergeCell ref="B37:C37"/>
    <mergeCell ref="F37:G37"/>
    <mergeCell ref="B38:C38"/>
    <mergeCell ref="F38:G38"/>
    <mergeCell ref="B39:C39"/>
    <mergeCell ref="F39:G39"/>
    <mergeCell ref="B40:C40"/>
    <mergeCell ref="F40:G4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7030A0"/>
  </sheetPr>
  <dimension ref="A1:N46"/>
  <sheetViews>
    <sheetView zoomScalePageLayoutView="0" workbookViewId="0" topLeftCell="A26">
      <selection activeCell="A35" sqref="A35:G35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9" s="59" customFormat="1" ht="16.5" customHeight="1">
      <c r="A7" s="59" t="s">
        <v>2</v>
      </c>
      <c r="F7" s="60" t="s">
        <v>493</v>
      </c>
      <c r="H7" s="60"/>
      <c r="I7" s="251"/>
    </row>
    <row r="8" spans="1:10" s="59" customFormat="1" ht="12.75">
      <c r="A8" s="59" t="s">
        <v>3</v>
      </c>
      <c r="F8" s="301">
        <v>586.8</v>
      </c>
      <c r="H8" s="304">
        <v>586.8</v>
      </c>
      <c r="I8" s="61">
        <v>0</v>
      </c>
      <c r="J8" s="61">
        <f>H8+I8</f>
        <v>586.8</v>
      </c>
    </row>
    <row r="9" spans="1:11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808</v>
      </c>
      <c r="B13" s="64"/>
      <c r="C13" s="64"/>
      <c r="D13" s="69"/>
      <c r="E13" s="70"/>
      <c r="F13" s="70"/>
      <c r="G13" s="65">
        <v>0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4" s="59" customFormat="1" ht="14.25">
      <c r="A16" s="75" t="s">
        <v>14</v>
      </c>
      <c r="B16" s="41" t="s">
        <v>15</v>
      </c>
      <c r="C16" s="97">
        <f>C17+C18+C19+C20</f>
        <v>9.879999999999999</v>
      </c>
      <c r="D16" s="76">
        <v>36468.71</v>
      </c>
      <c r="E16" s="76">
        <v>27857.61</v>
      </c>
      <c r="F16" s="76">
        <f aca="true" t="shared" si="0" ref="F16:F22">D16</f>
        <v>36468.71</v>
      </c>
      <c r="G16" s="77">
        <f>D16-E16</f>
        <v>8611.099999999999</v>
      </c>
      <c r="H16" s="78">
        <f>C16</f>
        <v>9.879999999999999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12771.430829959514</v>
      </c>
      <c r="E17" s="83">
        <f>E16*I17</f>
        <v>9755.802692307694</v>
      </c>
      <c r="F17" s="83">
        <f t="shared" si="0"/>
        <v>12771.430829959514</v>
      </c>
      <c r="G17" s="84">
        <f>D17-E17</f>
        <v>3015.62813765182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6238.068815789474</v>
      </c>
      <c r="E18" s="83">
        <f>E16*I18</f>
        <v>4765.1175</v>
      </c>
      <c r="F18" s="83">
        <f t="shared" si="0"/>
        <v>6238.068815789474</v>
      </c>
      <c r="G18" s="84">
        <f>D18-E18</f>
        <v>1472.9513157894735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82">
        <v>1.69</v>
      </c>
      <c r="D19" s="83">
        <f>D16*I19</f>
        <v>6238.068815789474</v>
      </c>
      <c r="E19" s="83">
        <f>E16*I19</f>
        <v>4765.1175</v>
      </c>
      <c r="F19" s="83">
        <f t="shared" si="0"/>
        <v>6238.068815789474</v>
      </c>
      <c r="G19" s="84">
        <f>D19-E19</f>
        <v>1472.9513157894735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11221.14153846154</v>
      </c>
      <c r="E20" s="83">
        <f>E16*I20</f>
        <v>8571.572307692308</v>
      </c>
      <c r="F20" s="83">
        <f t="shared" si="0"/>
        <v>11221.14153846154</v>
      </c>
      <c r="G20" s="84">
        <f>D20-E20</f>
        <v>2649.5692307692316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209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371</v>
      </c>
      <c r="C22" s="46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26</v>
      </c>
      <c r="C23" s="46">
        <v>0</v>
      </c>
      <c r="D23" s="87">
        <v>0</v>
      </c>
      <c r="E23" s="87">
        <v>0</v>
      </c>
      <c r="F23" s="87"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1.86</v>
      </c>
      <c r="D24" s="87">
        <v>6865.62</v>
      </c>
      <c r="E24" s="87">
        <v>5244.51</v>
      </c>
      <c r="F24" s="87">
        <f>F38</f>
        <v>12052.4451</v>
      </c>
      <c r="G24" s="77">
        <f t="shared" si="1"/>
        <v>1621.1099999999997</v>
      </c>
      <c r="H24" s="88"/>
      <c r="I24" s="88"/>
      <c r="J24" s="88"/>
      <c r="K24" s="88"/>
    </row>
    <row r="25" spans="1:11" ht="14.25">
      <c r="A25" s="41" t="s">
        <v>33</v>
      </c>
      <c r="B25" s="41" t="s">
        <v>161</v>
      </c>
      <c r="C25" s="97"/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46647.23</v>
      </c>
      <c r="E26" s="77">
        <f>SUM(E27:E30)</f>
        <v>69562.62</v>
      </c>
      <c r="F26" s="77">
        <f>SUM(F27:F30)</f>
        <v>46647.23</v>
      </c>
      <c r="G26" s="77">
        <f t="shared" si="1"/>
        <v>-22915.389999999992</v>
      </c>
      <c r="H26" s="98"/>
      <c r="I26" s="98"/>
      <c r="J26" s="98"/>
      <c r="K26" s="98"/>
    </row>
    <row r="27" spans="1:7" ht="15">
      <c r="A27" s="34" t="s">
        <v>37</v>
      </c>
      <c r="B27" s="34" t="s">
        <v>165</v>
      </c>
      <c r="C27" s="285">
        <v>6</v>
      </c>
      <c r="D27" s="84">
        <v>1004.07</v>
      </c>
      <c r="E27" s="84">
        <v>766.99</v>
      </c>
      <c r="F27" s="84">
        <f>D27</f>
        <v>1004.07</v>
      </c>
      <c r="G27" s="84">
        <f t="shared" si="1"/>
        <v>237.08000000000004</v>
      </c>
    </row>
    <row r="28" spans="1:7" ht="15">
      <c r="A28" s="34" t="s">
        <v>39</v>
      </c>
      <c r="B28" s="34" t="s">
        <v>137</v>
      </c>
      <c r="C28" s="285">
        <v>57.08</v>
      </c>
      <c r="D28" s="84">
        <v>45643.16</v>
      </c>
      <c r="E28" s="84">
        <v>42050.34</v>
      </c>
      <c r="F28" s="84">
        <f>D28</f>
        <v>45643.16</v>
      </c>
      <c r="G28" s="84">
        <f t="shared" si="1"/>
        <v>3592.820000000007</v>
      </c>
    </row>
    <row r="29" spans="1:7" ht="15">
      <c r="A29" s="34" t="s">
        <v>42</v>
      </c>
      <c r="B29" s="51" t="s">
        <v>340</v>
      </c>
      <c r="C29" s="286">
        <v>0</v>
      </c>
      <c r="D29" s="84">
        <v>0</v>
      </c>
      <c r="E29" s="84">
        <v>0</v>
      </c>
      <c r="F29" s="84">
        <v>0</v>
      </c>
      <c r="G29" s="84">
        <f t="shared" si="1"/>
        <v>0</v>
      </c>
    </row>
    <row r="30" spans="1:7" s="272" customFormat="1" ht="15">
      <c r="A30" s="267" t="s">
        <v>41</v>
      </c>
      <c r="B30" s="267" t="s">
        <v>43</v>
      </c>
      <c r="C30" s="143">
        <v>0</v>
      </c>
      <c r="D30" s="210">
        <v>0</v>
      </c>
      <c r="E30" s="210">
        <v>26745.29</v>
      </c>
      <c r="F30" s="210">
        <f>D30</f>
        <v>0</v>
      </c>
      <c r="G30" s="84">
        <f t="shared" si="1"/>
        <v>-26745.29</v>
      </c>
    </row>
    <row r="31" spans="1:9" s="102" customFormat="1" ht="19.5" customHeight="1" thickBot="1">
      <c r="A31" s="446"/>
      <c r="B31" s="447"/>
      <c r="C31" s="447"/>
      <c r="D31" s="448"/>
      <c r="E31" s="448"/>
      <c r="F31" s="448"/>
      <c r="G31" s="101"/>
      <c r="H31" s="101"/>
      <c r="I31" s="101"/>
    </row>
    <row r="32" spans="1:9" s="67" customFormat="1" ht="15.75" thickBot="1">
      <c r="A32" s="455" t="s">
        <v>413</v>
      </c>
      <c r="B32" s="456"/>
      <c r="C32" s="456"/>
      <c r="D32" s="71">
        <v>87.58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415</v>
      </c>
      <c r="B34" s="64"/>
      <c r="C34" s="64"/>
      <c r="D34" s="69"/>
      <c r="E34" s="70"/>
      <c r="F34" s="70"/>
      <c r="G34" s="306">
        <f>G13+E24-F24</f>
        <v>-6807.935100000001</v>
      </c>
      <c r="H34" s="62"/>
      <c r="I34" s="62"/>
    </row>
    <row r="35" spans="1:11" ht="31.5" customHeight="1">
      <c r="A35" s="616" t="s">
        <v>179</v>
      </c>
      <c r="B35" s="617"/>
      <c r="C35" s="617"/>
      <c r="D35" s="617"/>
      <c r="E35" s="617"/>
      <c r="F35" s="617"/>
      <c r="G35" s="617"/>
      <c r="H35" s="58"/>
      <c r="I35" s="58"/>
      <c r="J35" s="58"/>
      <c r="K35" s="58"/>
    </row>
    <row r="37" spans="1:12" s="74" customFormat="1" ht="37.5" customHeight="1">
      <c r="A37" s="105" t="s">
        <v>11</v>
      </c>
      <c r="B37" s="471" t="s">
        <v>45</v>
      </c>
      <c r="C37" s="484"/>
      <c r="D37" s="105" t="s">
        <v>163</v>
      </c>
      <c r="E37" s="105" t="s">
        <v>162</v>
      </c>
      <c r="F37" s="471" t="s">
        <v>46</v>
      </c>
      <c r="G37" s="484"/>
      <c r="H37" s="244"/>
      <c r="I37" s="245"/>
      <c r="L37" s="108"/>
    </row>
    <row r="38" spans="1:12" s="114" customFormat="1" ht="15" customHeight="1">
      <c r="A38" s="109" t="s">
        <v>47</v>
      </c>
      <c r="B38" s="473" t="s">
        <v>111</v>
      </c>
      <c r="C38" s="491"/>
      <c r="D38" s="110"/>
      <c r="E38" s="110"/>
      <c r="F38" s="496">
        <f>SUM(F39:G40)</f>
        <v>12052.4451</v>
      </c>
      <c r="G38" s="483"/>
      <c r="H38" s="246"/>
      <c r="I38" s="247"/>
      <c r="L38" s="115"/>
    </row>
    <row r="39" spans="1:12" ht="15">
      <c r="A39" s="34" t="s">
        <v>16</v>
      </c>
      <c r="B39" s="462" t="s">
        <v>404</v>
      </c>
      <c r="C39" s="489"/>
      <c r="D39" s="403"/>
      <c r="E39" s="403"/>
      <c r="F39" s="624">
        <v>12000</v>
      </c>
      <c r="G39" s="625"/>
      <c r="H39" s="248"/>
      <c r="I39" s="249"/>
      <c r="L39" s="119"/>
    </row>
    <row r="40" spans="1:11" s="67" customFormat="1" ht="15">
      <c r="A40" s="34" t="s">
        <v>18</v>
      </c>
      <c r="B40" s="511" t="s">
        <v>188</v>
      </c>
      <c r="C40" s="512"/>
      <c r="D40" s="123"/>
      <c r="E40" s="123"/>
      <c r="F40" s="495">
        <f>E24*1%</f>
        <v>52.445100000000004</v>
      </c>
      <c r="G40" s="495"/>
      <c r="H40" s="59"/>
      <c r="I40" s="59"/>
      <c r="J40" s="59"/>
      <c r="K40" s="59"/>
    </row>
    <row r="41" s="59" customFormat="1" ht="9" customHeight="1"/>
    <row r="42" spans="1:11" s="59" customFormat="1" ht="15">
      <c r="A42" s="67" t="s">
        <v>55</v>
      </c>
      <c r="B42" s="67"/>
      <c r="C42" s="125" t="s">
        <v>49</v>
      </c>
      <c r="D42" s="67"/>
      <c r="E42" s="67"/>
      <c r="F42" s="67" t="s">
        <v>90</v>
      </c>
      <c r="G42" s="67"/>
      <c r="H42" s="67"/>
      <c r="I42" s="67"/>
      <c r="J42" s="67"/>
      <c r="K42" s="67"/>
    </row>
    <row r="43" spans="1:7" s="59" customFormat="1" ht="15">
      <c r="A43" s="67"/>
      <c r="B43" s="67"/>
      <c r="C43" s="125"/>
      <c r="D43" s="67"/>
      <c r="E43" s="67"/>
      <c r="F43" s="126" t="s">
        <v>545</v>
      </c>
      <c r="G43" s="67"/>
    </row>
    <row r="44" spans="1:10" s="59" customFormat="1" ht="15">
      <c r="A44" s="67" t="s">
        <v>50</v>
      </c>
      <c r="B44" s="67"/>
      <c r="C44" s="125"/>
      <c r="D44" s="67"/>
      <c r="E44" s="67"/>
      <c r="F44" s="67"/>
      <c r="G44" s="67"/>
      <c r="H44" s="156"/>
      <c r="I44" s="156"/>
      <c r="J44" s="156"/>
    </row>
    <row r="45" spans="1:11" ht="15">
      <c r="A45" s="67"/>
      <c r="B45" s="67"/>
      <c r="C45" s="127" t="s">
        <v>51</v>
      </c>
      <c r="D45" s="67"/>
      <c r="E45" s="128"/>
      <c r="F45" s="128"/>
      <c r="G45" s="128"/>
      <c r="H45" s="59"/>
      <c r="I45" s="59"/>
      <c r="J45" s="59"/>
      <c r="K45" s="59"/>
    </row>
    <row r="46" spans="1:11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</row>
  </sheetData>
  <sheetProtection/>
  <mergeCells count="18">
    <mergeCell ref="A1:K1"/>
    <mergeCell ref="A2:K2"/>
    <mergeCell ref="A3:K3"/>
    <mergeCell ref="A5:K5"/>
    <mergeCell ref="A9:K9"/>
    <mergeCell ref="A10:K10"/>
    <mergeCell ref="A11:K11"/>
    <mergeCell ref="A31:F31"/>
    <mergeCell ref="A32:C32"/>
    <mergeCell ref="A35:G35"/>
    <mergeCell ref="B37:C37"/>
    <mergeCell ref="F37:G37"/>
    <mergeCell ref="B38:C38"/>
    <mergeCell ref="F38:G38"/>
    <mergeCell ref="B39:C39"/>
    <mergeCell ref="F39:G39"/>
    <mergeCell ref="B40:C40"/>
    <mergeCell ref="F40:G4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7030A0"/>
  </sheetPr>
  <dimension ref="A1:N51"/>
  <sheetViews>
    <sheetView zoomScale="98" zoomScaleNormal="98" zoomScalePageLayoutView="0" workbookViewId="0" topLeftCell="A1">
      <selection activeCell="A47" sqref="A47"/>
    </sheetView>
  </sheetViews>
  <sheetFormatPr defaultColWidth="9.140625" defaultRowHeight="15" outlineLevelCol="1"/>
  <cols>
    <col min="1" max="1" width="6.00390625" style="57" customWidth="1"/>
    <col min="2" max="2" width="47.140625" style="57" customWidth="1"/>
    <col min="3" max="3" width="10.7109375" style="57" customWidth="1"/>
    <col min="4" max="4" width="14.8515625" style="57" customWidth="1"/>
    <col min="5" max="5" width="13.28125" style="57" customWidth="1"/>
    <col min="6" max="6" width="13.7109375" style="57" customWidth="1"/>
    <col min="7" max="7" width="13.57421875" style="57" customWidth="1"/>
    <col min="8" max="9" width="11.57421875" style="57" hidden="1" customWidth="1" outlineLevel="1"/>
    <col min="10" max="10" width="10.140625" style="57" hidden="1" customWidth="1" outlineLevel="1"/>
    <col min="11" max="11" width="11.8515625" style="57" customWidth="1" collapsed="1"/>
    <col min="12" max="12" width="10.710937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8" s="59" customFormat="1" ht="16.5" customHeight="1">
      <c r="A7" s="59" t="s">
        <v>2</v>
      </c>
      <c r="F7" s="60" t="s">
        <v>494</v>
      </c>
      <c r="H7" s="60"/>
    </row>
    <row r="8" spans="1:10" s="59" customFormat="1" ht="12.75">
      <c r="A8" s="59" t="s">
        <v>3</v>
      </c>
      <c r="F8" s="301" t="s">
        <v>495</v>
      </c>
      <c r="H8" s="273">
        <f>119+96+98.3+96.4+89.8+124.3+123.9+97.5+96.6+98.4+99.7+174.7</f>
        <v>1314.6000000000001</v>
      </c>
      <c r="I8" s="59">
        <v>17670</v>
      </c>
      <c r="J8" s="59">
        <f>H8+I8</f>
        <v>18984.6</v>
      </c>
    </row>
    <row r="9" spans="2:8" s="59" customFormat="1" ht="12.75">
      <c r="B9" s="59" t="s">
        <v>507</v>
      </c>
      <c r="F9" s="301" t="s">
        <v>792</v>
      </c>
      <c r="H9" s="242"/>
    </row>
    <row r="10" spans="1:11" s="59" customFormat="1" ht="12.7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11" s="59" customFormat="1" ht="12.7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795</v>
      </c>
      <c r="B14" s="64"/>
      <c r="C14" s="64"/>
      <c r="D14" s="69"/>
      <c r="E14" s="70"/>
      <c r="F14" s="70"/>
      <c r="G14" s="71">
        <v>0</v>
      </c>
      <c r="H14" s="62"/>
      <c r="I14" s="62"/>
    </row>
    <row r="15" s="59" customFormat="1" ht="6.75" customHeight="1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</row>
    <row r="17" spans="1:14" s="59" customFormat="1" ht="28.5">
      <c r="A17" s="75" t="s">
        <v>14</v>
      </c>
      <c r="B17" s="41" t="s">
        <v>15</v>
      </c>
      <c r="C17" s="46">
        <f>C18+C19+C20+C21+C22+C23+C24</f>
        <v>17.88</v>
      </c>
      <c r="D17" s="76">
        <f>313248.52+1012137.85</f>
        <v>1325386.37</v>
      </c>
      <c r="E17" s="76">
        <f>187746.85+869737.7</f>
        <v>1057484.55</v>
      </c>
      <c r="F17" s="76">
        <f aca="true" t="shared" si="0" ref="F17:F26">D17</f>
        <v>1325386.37</v>
      </c>
      <c r="G17" s="77">
        <f aca="true" t="shared" si="1" ref="G17:G34">D17-E17</f>
        <v>267901.82000000007</v>
      </c>
      <c r="H17" s="78">
        <f aca="true" t="shared" si="2" ref="H17:H23">C17</f>
        <v>17.88</v>
      </c>
      <c r="I17" s="79"/>
      <c r="J17" s="79">
        <f>D17/4/C17</f>
        <v>18531.688618568234</v>
      </c>
      <c r="K17" s="137"/>
      <c r="M17" s="78"/>
      <c r="N17" s="80"/>
    </row>
    <row r="18" spans="1:9" s="59" customFormat="1" ht="15">
      <c r="A18" s="81" t="s">
        <v>16</v>
      </c>
      <c r="B18" s="34" t="s">
        <v>17</v>
      </c>
      <c r="C18" s="372">
        <v>2.92</v>
      </c>
      <c r="D18" s="83">
        <f>D17*I18</f>
        <v>216450.12306487697</v>
      </c>
      <c r="E18" s="83">
        <f>E17*I18</f>
        <v>172698.8191275168</v>
      </c>
      <c r="F18" s="83">
        <f t="shared" si="0"/>
        <v>216450.12306487697</v>
      </c>
      <c r="G18" s="84">
        <f t="shared" si="1"/>
        <v>43751.30393736018</v>
      </c>
      <c r="H18" s="78">
        <f t="shared" si="2"/>
        <v>2.92</v>
      </c>
      <c r="I18" s="59">
        <f>H18/H17</f>
        <v>0.16331096196868009</v>
      </c>
    </row>
    <row r="19" spans="1:9" s="59" customFormat="1" ht="15">
      <c r="A19" s="81" t="s">
        <v>18</v>
      </c>
      <c r="B19" s="34" t="s">
        <v>19</v>
      </c>
      <c r="C19" s="372">
        <v>1.69</v>
      </c>
      <c r="D19" s="83">
        <f>D17*I19</f>
        <v>125274.21506152126</v>
      </c>
      <c r="E19" s="83">
        <f>E17*I19</f>
        <v>99952.39874161074</v>
      </c>
      <c r="F19" s="83">
        <f t="shared" si="0"/>
        <v>125274.21506152126</v>
      </c>
      <c r="G19" s="84">
        <f t="shared" si="1"/>
        <v>25321.81631991052</v>
      </c>
      <c r="H19" s="78">
        <f t="shared" si="2"/>
        <v>1.69</v>
      </c>
      <c r="I19" s="59">
        <f>H19/H17</f>
        <v>0.09451901565995526</v>
      </c>
    </row>
    <row r="20" spans="1:9" s="59" customFormat="1" ht="15">
      <c r="A20" s="81" t="s">
        <v>20</v>
      </c>
      <c r="B20" s="34" t="s">
        <v>21</v>
      </c>
      <c r="C20" s="372">
        <v>1.99</v>
      </c>
      <c r="D20" s="83">
        <f>D17*I20</f>
        <v>147512.24140380314</v>
      </c>
      <c r="E20" s="83">
        <f>E17*I20</f>
        <v>117695.42810402685</v>
      </c>
      <c r="F20" s="83">
        <f t="shared" si="0"/>
        <v>147512.24140380314</v>
      </c>
      <c r="G20" s="84">
        <f t="shared" si="1"/>
        <v>29816.813299776288</v>
      </c>
      <c r="H20" s="78">
        <f t="shared" si="2"/>
        <v>1.99</v>
      </c>
      <c r="I20" s="59">
        <f>H20/H17</f>
        <v>0.11129753914988814</v>
      </c>
    </row>
    <row r="21" spans="1:9" s="59" customFormat="1" ht="15">
      <c r="A21" s="81" t="s">
        <v>22</v>
      </c>
      <c r="B21" s="34" t="s">
        <v>23</v>
      </c>
      <c r="C21" s="372">
        <v>3.04</v>
      </c>
      <c r="D21" s="83">
        <f>D17*I21</f>
        <v>225345.33360178975</v>
      </c>
      <c r="E21" s="83">
        <f>E17*I21</f>
        <v>179796.03087248324</v>
      </c>
      <c r="F21" s="83">
        <f t="shared" si="0"/>
        <v>225345.33360178975</v>
      </c>
      <c r="G21" s="84">
        <f t="shared" si="1"/>
        <v>45549.30272930651</v>
      </c>
      <c r="H21" s="78">
        <f t="shared" si="2"/>
        <v>3.04</v>
      </c>
      <c r="I21" s="59">
        <f>H21/H17</f>
        <v>0.17002237136465326</v>
      </c>
    </row>
    <row r="22" spans="1:9" s="59" customFormat="1" ht="15">
      <c r="A22" s="81" t="s">
        <v>24</v>
      </c>
      <c r="B22" s="34" t="s">
        <v>180</v>
      </c>
      <c r="C22" s="371">
        <v>3</v>
      </c>
      <c r="D22" s="83">
        <f>D17*I22</f>
        <v>222380.26342281883</v>
      </c>
      <c r="E22" s="83">
        <f>E17*I22</f>
        <v>177430.2936241611</v>
      </c>
      <c r="F22" s="83">
        <f t="shared" si="0"/>
        <v>222380.26342281883</v>
      </c>
      <c r="G22" s="84">
        <f t="shared" si="1"/>
        <v>44949.96979865772</v>
      </c>
      <c r="H22" s="78">
        <f t="shared" si="2"/>
        <v>3</v>
      </c>
      <c r="I22" s="59">
        <f>H22/H17</f>
        <v>0.16778523489932887</v>
      </c>
    </row>
    <row r="23" spans="1:11" s="59" customFormat="1" ht="15">
      <c r="A23" s="81" t="s">
        <v>103</v>
      </c>
      <c r="B23" s="267" t="s">
        <v>276</v>
      </c>
      <c r="C23" s="371">
        <v>3.34</v>
      </c>
      <c r="D23" s="83">
        <f>I23*D17</f>
        <v>247583.3599440716</v>
      </c>
      <c r="E23" s="83">
        <f>I23*E17</f>
        <v>197539.0602348993</v>
      </c>
      <c r="F23" s="83">
        <f>D23</f>
        <v>247583.3599440716</v>
      </c>
      <c r="G23" s="84">
        <f t="shared" si="1"/>
        <v>50044.29970917228</v>
      </c>
      <c r="H23" s="78">
        <f t="shared" si="2"/>
        <v>3.34</v>
      </c>
      <c r="I23" s="59">
        <f>H23/H17</f>
        <v>0.18680089485458612</v>
      </c>
      <c r="K23" s="80"/>
    </row>
    <row r="24" spans="1:11" s="59" customFormat="1" ht="15">
      <c r="A24" s="81" t="s">
        <v>104</v>
      </c>
      <c r="B24" s="267" t="s">
        <v>794</v>
      </c>
      <c r="C24" s="371">
        <v>1.9</v>
      </c>
      <c r="D24" s="83">
        <f>I24*D17</f>
        <v>140840.83350111858</v>
      </c>
      <c r="E24" s="83">
        <f>I24*E17</f>
        <v>112372.51929530202</v>
      </c>
      <c r="F24" s="83">
        <f>D24</f>
        <v>140840.83350111858</v>
      </c>
      <c r="G24" s="84">
        <f t="shared" si="1"/>
        <v>28468.31420581657</v>
      </c>
      <c r="H24" s="78">
        <v>1.9</v>
      </c>
      <c r="I24" s="59">
        <f>H24/H17</f>
        <v>0.10626398210290827</v>
      </c>
      <c r="K24" s="80"/>
    </row>
    <row r="25" spans="1:11" s="89" customFormat="1" ht="14.25">
      <c r="A25" s="86" t="s">
        <v>25</v>
      </c>
      <c r="B25" s="86" t="s">
        <v>26</v>
      </c>
      <c r="C25" s="46">
        <v>3.86</v>
      </c>
      <c r="D25" s="87">
        <v>212226.75</v>
      </c>
      <c r="E25" s="87">
        <v>164846.14</v>
      </c>
      <c r="F25" s="87">
        <f t="shared" si="0"/>
        <v>212226.75</v>
      </c>
      <c r="G25" s="77">
        <f t="shared" si="1"/>
        <v>47380.609999999986</v>
      </c>
      <c r="H25" s="88"/>
      <c r="I25" s="88"/>
      <c r="J25" s="88"/>
      <c r="K25" s="88"/>
    </row>
    <row r="26" spans="1:11" s="89" customFormat="1" ht="14.25">
      <c r="A26" s="86" t="s">
        <v>27</v>
      </c>
      <c r="B26" s="86" t="s">
        <v>92</v>
      </c>
      <c r="C26" s="46">
        <v>0</v>
      </c>
      <c r="D26" s="87">
        <v>0</v>
      </c>
      <c r="E26" s="87">
        <v>0</v>
      </c>
      <c r="F26" s="87">
        <f t="shared" si="0"/>
        <v>0</v>
      </c>
      <c r="G26" s="77">
        <f t="shared" si="1"/>
        <v>0</v>
      </c>
      <c r="H26" s="88"/>
      <c r="I26" s="88"/>
      <c r="J26" s="88"/>
      <c r="K26" s="88"/>
    </row>
    <row r="27" spans="1:12" s="89" customFormat="1" ht="14.25">
      <c r="A27" s="86" t="s">
        <v>29</v>
      </c>
      <c r="B27" s="86" t="s">
        <v>116</v>
      </c>
      <c r="C27" s="95">
        <v>3</v>
      </c>
      <c r="D27" s="87">
        <f>56944.8+168774</f>
        <v>225718.8</v>
      </c>
      <c r="E27" s="87">
        <f>34130.1+146073.48</f>
        <v>180203.58000000002</v>
      </c>
      <c r="F27" s="87">
        <f>F43</f>
        <v>1802.0358</v>
      </c>
      <c r="G27" s="77">
        <f t="shared" si="1"/>
        <v>45515.21999999997</v>
      </c>
      <c r="H27" s="88"/>
      <c r="I27" s="96"/>
      <c r="J27" s="88"/>
      <c r="K27" s="96"/>
      <c r="L27" s="96"/>
    </row>
    <row r="28" spans="1:11" ht="25.5">
      <c r="A28" s="41" t="s">
        <v>496</v>
      </c>
      <c r="B28" s="41" t="s">
        <v>161</v>
      </c>
      <c r="C28" s="97" t="s">
        <v>793</v>
      </c>
      <c r="D28" s="77">
        <v>0</v>
      </c>
      <c r="E28" s="77">
        <v>0</v>
      </c>
      <c r="F28" s="87">
        <f>D28</f>
        <v>0</v>
      </c>
      <c r="G28" s="77">
        <f t="shared" si="1"/>
        <v>0</v>
      </c>
      <c r="H28" s="98"/>
      <c r="J28" s="98"/>
      <c r="K28" s="98"/>
    </row>
    <row r="29" spans="1:11" ht="14.25">
      <c r="A29" s="41" t="s">
        <v>191</v>
      </c>
      <c r="B29" s="41" t="s">
        <v>497</v>
      </c>
      <c r="C29" s="97">
        <v>0</v>
      </c>
      <c r="D29" s="77">
        <f>63398.47-189.48</f>
        <v>63208.99</v>
      </c>
      <c r="E29" s="77">
        <f>37998.1+76241.19</f>
        <v>114239.29000000001</v>
      </c>
      <c r="F29" s="76">
        <f>D29</f>
        <v>63208.99</v>
      </c>
      <c r="G29" s="77">
        <f t="shared" si="1"/>
        <v>-51030.30000000001</v>
      </c>
      <c r="H29" s="98"/>
      <c r="J29" s="98">
        <f>D29/4/18984.6</f>
        <v>0.8323718961684734</v>
      </c>
      <c r="K29" s="373"/>
    </row>
    <row r="30" spans="1:11" ht="14.25">
      <c r="A30" s="41" t="s">
        <v>35</v>
      </c>
      <c r="B30" s="41" t="s">
        <v>36</v>
      </c>
      <c r="C30" s="97">
        <v>0</v>
      </c>
      <c r="D30" s="77">
        <f>SUM(D31:D34)</f>
        <v>1524900.53</v>
      </c>
      <c r="E30" s="77">
        <f>SUM(E31:E34)</f>
        <v>1167109.55</v>
      </c>
      <c r="F30" s="77">
        <f>SUM(F31:F34)</f>
        <v>1524900.53</v>
      </c>
      <c r="G30" s="77">
        <f t="shared" si="1"/>
        <v>357790.98</v>
      </c>
      <c r="H30" s="98"/>
      <c r="I30" s="98"/>
      <c r="J30" s="98"/>
      <c r="K30" s="98"/>
    </row>
    <row r="31" spans="1:7" ht="15">
      <c r="A31" s="34" t="s">
        <v>37</v>
      </c>
      <c r="B31" s="34" t="s">
        <v>237</v>
      </c>
      <c r="C31" s="293">
        <v>4.2</v>
      </c>
      <c r="D31" s="84">
        <f>47119.44+154340.65</f>
        <v>201460.09</v>
      </c>
      <c r="E31" s="84">
        <f>28241.2+131312.42</f>
        <v>159553.62000000002</v>
      </c>
      <c r="F31" s="84">
        <f>D31</f>
        <v>201460.09</v>
      </c>
      <c r="G31" s="84">
        <f t="shared" si="1"/>
        <v>41906.46999999997</v>
      </c>
    </row>
    <row r="32" spans="1:7" ht="15">
      <c r="A32" s="34" t="s">
        <v>39</v>
      </c>
      <c r="B32" s="34" t="s">
        <v>137</v>
      </c>
      <c r="C32" s="285">
        <v>57.08</v>
      </c>
      <c r="D32" s="84">
        <f>8038.97+24117.7</f>
        <v>32156.670000000002</v>
      </c>
      <c r="E32" s="84">
        <f>4818.13+20799.71</f>
        <v>25617.84</v>
      </c>
      <c r="F32" s="84">
        <f>D32</f>
        <v>32156.670000000002</v>
      </c>
      <c r="G32" s="84">
        <f t="shared" si="1"/>
        <v>6538.830000000002</v>
      </c>
    </row>
    <row r="33" spans="1:7" ht="26.25">
      <c r="A33" s="34" t="s">
        <v>42</v>
      </c>
      <c r="B33" s="34" t="s">
        <v>340</v>
      </c>
      <c r="C33" s="49" t="s">
        <v>238</v>
      </c>
      <c r="D33" s="84">
        <f>141172.44+225076.97</f>
        <v>366249.41000000003</v>
      </c>
      <c r="E33" s="84">
        <f>89503.72+218542.18</f>
        <v>308045.9</v>
      </c>
      <c r="F33" s="84">
        <f>D33</f>
        <v>366249.41000000003</v>
      </c>
      <c r="G33" s="84">
        <f t="shared" si="1"/>
        <v>58203.51000000001</v>
      </c>
    </row>
    <row r="34" spans="1:11" ht="26.25">
      <c r="A34" s="34" t="s">
        <v>41</v>
      </c>
      <c r="B34" s="34" t="s">
        <v>43</v>
      </c>
      <c r="C34" s="49" t="s">
        <v>238</v>
      </c>
      <c r="D34" s="84">
        <v>925034.36</v>
      </c>
      <c r="E34" s="84">
        <v>673892.19</v>
      </c>
      <c r="F34" s="84">
        <f>D34</f>
        <v>925034.36</v>
      </c>
      <c r="G34" s="84">
        <f t="shared" si="1"/>
        <v>251142.17000000004</v>
      </c>
      <c r="K34" s="96"/>
    </row>
    <row r="35" spans="1:9" s="102" customFormat="1" ht="19.5" customHeight="1" thickBot="1">
      <c r="A35" s="446" t="s">
        <v>294</v>
      </c>
      <c r="B35" s="447"/>
      <c r="C35" s="447"/>
      <c r="D35" s="448"/>
      <c r="E35" s="448"/>
      <c r="F35" s="448"/>
      <c r="G35" s="170"/>
      <c r="H35" s="101"/>
      <c r="I35" s="101"/>
    </row>
    <row r="36" spans="1:9" s="67" customFormat="1" ht="15.75" thickBot="1">
      <c r="A36" s="455" t="s">
        <v>413</v>
      </c>
      <c r="B36" s="456"/>
      <c r="C36" s="456"/>
      <c r="D36" s="65">
        <v>2009861.71</v>
      </c>
      <c r="E36" s="66"/>
      <c r="F36" s="66"/>
      <c r="G36" s="66"/>
      <c r="H36" s="62"/>
      <c r="I36" s="62"/>
    </row>
    <row r="37" spans="1:9" s="67" customFormat="1" ht="6" customHeight="1" thickBot="1">
      <c r="A37" s="68"/>
      <c r="B37" s="68"/>
      <c r="C37" s="68"/>
      <c r="D37" s="40"/>
      <c r="E37" s="66"/>
      <c r="F37" s="66"/>
      <c r="G37" s="66"/>
      <c r="H37" s="62"/>
      <c r="I37" s="62"/>
    </row>
    <row r="38" spans="1:11" s="67" customFormat="1" ht="15.75" thickBot="1">
      <c r="A38" s="63" t="s">
        <v>415</v>
      </c>
      <c r="B38" s="64"/>
      <c r="C38" s="64"/>
      <c r="D38" s="69"/>
      <c r="E38" s="70"/>
      <c r="F38" s="70"/>
      <c r="G38" s="71">
        <f>G14+E27-F27</f>
        <v>178401.5442</v>
      </c>
      <c r="H38" s="62"/>
      <c r="I38" s="62"/>
      <c r="K38" s="103"/>
    </row>
    <row r="39" spans="1:11" s="102" customFormat="1" ht="13.5">
      <c r="A39" s="104"/>
      <c r="B39" s="104"/>
      <c r="C39" s="104"/>
      <c r="D39" s="104"/>
      <c r="E39" s="101"/>
      <c r="F39" s="101"/>
      <c r="G39" s="101"/>
      <c r="H39" s="101"/>
      <c r="I39" s="101"/>
      <c r="J39" s="101"/>
      <c r="K39" s="101"/>
    </row>
    <row r="40" spans="1:11" ht="31.5" customHeight="1">
      <c r="A40" s="444" t="s">
        <v>179</v>
      </c>
      <c r="B40" s="481"/>
      <c r="C40" s="481"/>
      <c r="D40" s="481"/>
      <c r="E40" s="481"/>
      <c r="F40" s="481"/>
      <c r="G40" s="481"/>
      <c r="H40" s="62"/>
      <c r="I40" s="62"/>
      <c r="J40" s="62"/>
      <c r="K40" s="62"/>
    </row>
    <row r="42" spans="1:12" s="74" customFormat="1" ht="37.5" customHeight="1">
      <c r="A42" s="105" t="s">
        <v>11</v>
      </c>
      <c r="B42" s="471" t="s">
        <v>45</v>
      </c>
      <c r="C42" s="484"/>
      <c r="D42" s="105" t="s">
        <v>163</v>
      </c>
      <c r="E42" s="105" t="s">
        <v>162</v>
      </c>
      <c r="F42" s="598" t="s">
        <v>46</v>
      </c>
      <c r="G42" s="598"/>
      <c r="H42" s="106"/>
      <c r="I42" s="107"/>
      <c r="L42" s="108"/>
    </row>
    <row r="43" spans="1:12" s="114" customFormat="1" ht="15" customHeight="1">
      <c r="A43" s="109" t="s">
        <v>47</v>
      </c>
      <c r="B43" s="473" t="s">
        <v>111</v>
      </c>
      <c r="C43" s="491"/>
      <c r="D43" s="110"/>
      <c r="E43" s="110"/>
      <c r="F43" s="611">
        <f>SUM(F44:G46)</f>
        <v>1802.0358</v>
      </c>
      <c r="G43" s="612"/>
      <c r="H43" s="112"/>
      <c r="I43" s="113"/>
      <c r="L43" s="115"/>
    </row>
    <row r="44" spans="1:12" ht="15">
      <c r="A44" s="34" t="s">
        <v>16</v>
      </c>
      <c r="B44" s="462"/>
      <c r="C44" s="489"/>
      <c r="D44" s="337"/>
      <c r="E44" s="341"/>
      <c r="F44" s="624"/>
      <c r="G44" s="625"/>
      <c r="H44" s="40"/>
      <c r="I44" s="40"/>
      <c r="L44" s="119"/>
    </row>
    <row r="45" spans="1:12" ht="15" customHeight="1">
      <c r="A45" s="34" t="s">
        <v>18</v>
      </c>
      <c r="B45" s="462"/>
      <c r="C45" s="489"/>
      <c r="D45" s="337"/>
      <c r="E45" s="337"/>
      <c r="F45" s="497"/>
      <c r="G45" s="497"/>
      <c r="H45" s="40"/>
      <c r="I45" s="40"/>
      <c r="L45" s="119"/>
    </row>
    <row r="46" spans="1:7" ht="15">
      <c r="A46" s="34" t="s">
        <v>20</v>
      </c>
      <c r="B46" s="511" t="s">
        <v>188</v>
      </c>
      <c r="C46" s="512"/>
      <c r="D46" s="123"/>
      <c r="E46" s="123"/>
      <c r="F46" s="495">
        <f>E27*1%</f>
        <v>1802.0358</v>
      </c>
      <c r="G46" s="495"/>
    </row>
    <row r="47" spans="1:7" ht="12.75">
      <c r="A47" s="59"/>
      <c r="B47" s="59"/>
      <c r="C47" s="59"/>
      <c r="D47" s="59"/>
      <c r="E47" s="59"/>
      <c r="F47" s="59"/>
      <c r="G47" s="59"/>
    </row>
    <row r="48" spans="1:7" ht="15">
      <c r="A48" s="67" t="s">
        <v>55</v>
      </c>
      <c r="B48" s="67"/>
      <c r="C48" s="125" t="s">
        <v>49</v>
      </c>
      <c r="D48" s="67"/>
      <c r="E48" s="67"/>
      <c r="F48" s="67" t="s">
        <v>90</v>
      </c>
      <c r="G48" s="67"/>
    </row>
    <row r="49" spans="1:7" ht="15">
      <c r="A49" s="67"/>
      <c r="B49" s="67"/>
      <c r="C49" s="125"/>
      <c r="D49" s="67"/>
      <c r="E49" s="67"/>
      <c r="F49" s="126" t="s">
        <v>545</v>
      </c>
      <c r="G49" s="67"/>
    </row>
    <row r="50" spans="1:7" ht="15">
      <c r="A50" s="67" t="s">
        <v>50</v>
      </c>
      <c r="B50" s="67"/>
      <c r="C50" s="125"/>
      <c r="D50" s="67"/>
      <c r="E50" s="67"/>
      <c r="F50" s="67"/>
      <c r="G50" s="67"/>
    </row>
    <row r="51" spans="1:7" ht="15">
      <c r="A51" s="67"/>
      <c r="B51" s="67"/>
      <c r="C51" s="127" t="s">
        <v>51</v>
      </c>
      <c r="D51" s="67"/>
      <c r="E51" s="128"/>
      <c r="F51" s="128"/>
      <c r="G51" s="128"/>
    </row>
  </sheetData>
  <sheetProtection/>
  <mergeCells count="20">
    <mergeCell ref="A1:K1"/>
    <mergeCell ref="A2:K2"/>
    <mergeCell ref="A3:K3"/>
    <mergeCell ref="A5:K5"/>
    <mergeCell ref="A10:K10"/>
    <mergeCell ref="A11:K11"/>
    <mergeCell ref="A12:K12"/>
    <mergeCell ref="A35:F35"/>
    <mergeCell ref="A36:C36"/>
    <mergeCell ref="A40:G40"/>
    <mergeCell ref="B42:C42"/>
    <mergeCell ref="F42:G42"/>
    <mergeCell ref="B43:C43"/>
    <mergeCell ref="F43:G43"/>
    <mergeCell ref="B44:C44"/>
    <mergeCell ref="F44:G44"/>
    <mergeCell ref="B45:C45"/>
    <mergeCell ref="F45:G45"/>
    <mergeCell ref="B46:C46"/>
    <mergeCell ref="F46:G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M52"/>
  <sheetViews>
    <sheetView zoomScalePageLayoutView="0" workbookViewId="0" topLeftCell="A44">
      <selection activeCell="G38" sqref="G38"/>
    </sheetView>
  </sheetViews>
  <sheetFormatPr defaultColWidth="9.140625" defaultRowHeight="15" outlineLevelCol="1"/>
  <cols>
    <col min="1" max="1" width="4.7109375" style="35" customWidth="1"/>
    <col min="2" max="2" width="49.00390625" style="35" customWidth="1"/>
    <col min="3" max="3" width="14.7109375" style="35" customWidth="1"/>
    <col min="4" max="4" width="12.57421875" style="35" customWidth="1"/>
    <col min="5" max="5" width="12.7109375" style="35" customWidth="1"/>
    <col min="6" max="6" width="12.281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0.140625" style="35" bestFit="1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6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4.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6.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7.5" customHeight="1"/>
    <row r="7" spans="1:5" s="67" customFormat="1" ht="16.5" customHeight="1">
      <c r="A7" s="67" t="s">
        <v>2</v>
      </c>
      <c r="E7" s="126" t="s">
        <v>63</v>
      </c>
    </row>
    <row r="8" spans="1:5" s="67" customFormat="1" ht="15">
      <c r="A8" s="67" t="s">
        <v>3</v>
      </c>
      <c r="E8" s="126" t="s">
        <v>295</v>
      </c>
    </row>
    <row r="9" s="67" customFormat="1" ht="7.5" customHeight="1"/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'[2]Социалистическая 9'!$G$36</f>
        <v>27785.29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'[2]Социалистическая 9'!$G$37</f>
        <v>-113742.71999999997</v>
      </c>
      <c r="H15" s="62"/>
      <c r="I15" s="62"/>
    </row>
    <row r="16" s="67" customFormat="1" ht="9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167" customFormat="1" ht="15">
      <c r="A18" s="75" t="s">
        <v>14</v>
      </c>
      <c r="B18" s="41" t="s">
        <v>15</v>
      </c>
      <c r="C18" s="135">
        <f>C19+C20+C21+C22</f>
        <v>9.879999999999999</v>
      </c>
      <c r="D18" s="76">
        <v>203909.44</v>
      </c>
      <c r="E18" s="76">
        <v>206390.59</v>
      </c>
      <c r="F18" s="76">
        <f>D18</f>
        <v>203909.44</v>
      </c>
      <c r="G18" s="77">
        <f>D18-E18</f>
        <v>-2481.149999999994</v>
      </c>
      <c r="H18" s="145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71409.58121457491</v>
      </c>
      <c r="E19" s="83">
        <f>E18*I19</f>
        <v>72278.48597165992</v>
      </c>
      <c r="F19" s="83">
        <f>D19</f>
        <v>71409.58121457491</v>
      </c>
      <c r="G19" s="84">
        <f>D19-E19</f>
        <v>-868.9047570850089</v>
      </c>
      <c r="H19" s="145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34879.246315789474</v>
      </c>
      <c r="E20" s="83">
        <f>E18*I20</f>
        <v>35303.65355263158</v>
      </c>
      <c r="F20" s="83">
        <f>D20</f>
        <v>34879.246315789474</v>
      </c>
      <c r="G20" s="84">
        <f>D20-E20</f>
        <v>-424.4072368421039</v>
      </c>
      <c r="H20" s="145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34879.246315789474</v>
      </c>
      <c r="E21" s="83">
        <f>E18*I21</f>
        <v>35303.65355263158</v>
      </c>
      <c r="F21" s="83">
        <f>D21</f>
        <v>34879.246315789474</v>
      </c>
      <c r="G21" s="84">
        <f>D21-E21</f>
        <v>-424.4072368421039</v>
      </c>
      <c r="H21" s="145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62741.36615384616</v>
      </c>
      <c r="E22" s="83">
        <f>E18*I22</f>
        <v>63504.79692307692</v>
      </c>
      <c r="F22" s="83">
        <f>D22</f>
        <v>62741.36615384616</v>
      </c>
      <c r="G22" s="84">
        <f>D22-E22</f>
        <v>-763.430769230763</v>
      </c>
      <c r="H22" s="145">
        <f>C22</f>
        <v>3.04</v>
      </c>
      <c r="I22" s="67">
        <f>H22/H18</f>
        <v>0.3076923076923077</v>
      </c>
    </row>
    <row r="23" spans="1:9" s="39" customFormat="1" ht="15">
      <c r="A23" s="81" t="s">
        <v>25</v>
      </c>
      <c r="B23" s="86" t="s">
        <v>462</v>
      </c>
      <c r="C23" s="97">
        <v>130</v>
      </c>
      <c r="D23" s="77">
        <v>46800</v>
      </c>
      <c r="E23" s="77">
        <v>43156.63</v>
      </c>
      <c r="F23" s="76">
        <f aca="true" t="shared" si="0" ref="F23:F32">D23</f>
        <v>46800</v>
      </c>
      <c r="G23" s="77">
        <f aca="true" t="shared" si="1" ref="G23:G32">D23-E23</f>
        <v>3643.3700000000026</v>
      </c>
      <c r="H23" s="39">
        <f>40*130</f>
        <v>5200</v>
      </c>
      <c r="I23" s="39">
        <f>D23/H23</f>
        <v>9</v>
      </c>
    </row>
    <row r="24" spans="1:7" s="39" customFormat="1" ht="14.25">
      <c r="A24" s="41" t="s">
        <v>27</v>
      </c>
      <c r="B24" s="140" t="s">
        <v>28</v>
      </c>
      <c r="C24" s="97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s="39" customFormat="1" ht="14.25">
      <c r="A25" s="41" t="s">
        <v>29</v>
      </c>
      <c r="B25" s="140" t="s">
        <v>161</v>
      </c>
      <c r="C25" s="141">
        <v>12.54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13" s="39" customFormat="1" ht="14.25">
      <c r="A26" s="41" t="s">
        <v>31</v>
      </c>
      <c r="B26" s="140" t="s">
        <v>116</v>
      </c>
      <c r="C26" s="97">
        <v>1.86</v>
      </c>
      <c r="D26" s="77">
        <v>36221.04</v>
      </c>
      <c r="E26" s="77">
        <v>35465.5</v>
      </c>
      <c r="F26" s="76">
        <f>F43</f>
        <v>22391.765</v>
      </c>
      <c r="G26" s="77">
        <f t="shared" si="1"/>
        <v>755.5400000000009</v>
      </c>
      <c r="M26" s="181"/>
    </row>
    <row r="27" spans="1:7" s="39" customFormat="1" ht="14.25">
      <c r="A27" s="41" t="s">
        <v>33</v>
      </c>
      <c r="B27" s="134" t="s">
        <v>34</v>
      </c>
      <c r="C27" s="46">
        <v>0</v>
      </c>
      <c r="D27" s="77">
        <v>0</v>
      </c>
      <c r="E27" s="77">
        <v>0</v>
      </c>
      <c r="F27" s="76">
        <f>D27</f>
        <v>0</v>
      </c>
      <c r="G27" s="77">
        <f t="shared" si="1"/>
        <v>0</v>
      </c>
    </row>
    <row r="28" spans="1:7" s="39" customFormat="1" ht="14.25">
      <c r="A28" s="41" t="s">
        <v>35</v>
      </c>
      <c r="B28" s="134" t="s">
        <v>36</v>
      </c>
      <c r="C28" s="97"/>
      <c r="D28" s="77">
        <f>SUM(D29:D32)</f>
        <v>969863.74</v>
      </c>
      <c r="E28" s="77">
        <f>SUM(E29:E32)</f>
        <v>948763.84</v>
      </c>
      <c r="F28" s="76">
        <f t="shared" si="0"/>
        <v>969863.74</v>
      </c>
      <c r="G28" s="77">
        <f t="shared" si="1"/>
        <v>21099.900000000023</v>
      </c>
    </row>
    <row r="29" spans="1:7" ht="15">
      <c r="A29" s="34" t="s">
        <v>37</v>
      </c>
      <c r="B29" s="34" t="s">
        <v>165</v>
      </c>
      <c r="C29" s="285">
        <v>6</v>
      </c>
      <c r="D29" s="84">
        <v>26767.93</v>
      </c>
      <c r="E29" s="84">
        <v>26741.56</v>
      </c>
      <c r="F29" s="83">
        <f>D29</f>
        <v>26767.93</v>
      </c>
      <c r="G29" s="84">
        <f t="shared" si="1"/>
        <v>26.36999999999898</v>
      </c>
    </row>
    <row r="30" spans="1:7" ht="15">
      <c r="A30" s="34" t="s">
        <v>39</v>
      </c>
      <c r="B30" s="34" t="s">
        <v>137</v>
      </c>
      <c r="C30" s="285">
        <v>57.08</v>
      </c>
      <c r="D30" s="84">
        <v>235668.88</v>
      </c>
      <c r="E30" s="84">
        <v>230154.43</v>
      </c>
      <c r="F30" s="83">
        <f t="shared" si="0"/>
        <v>235668.88</v>
      </c>
      <c r="G30" s="84">
        <f t="shared" si="1"/>
        <v>5514.450000000012</v>
      </c>
    </row>
    <row r="31" spans="1:7" ht="15">
      <c r="A31" s="34" t="s">
        <v>42</v>
      </c>
      <c r="B31" s="139" t="s">
        <v>340</v>
      </c>
      <c r="C31" s="286">
        <v>0</v>
      </c>
      <c r="D31" s="84">
        <v>0</v>
      </c>
      <c r="E31" s="84">
        <v>0</v>
      </c>
      <c r="F31" s="83">
        <f t="shared" si="0"/>
        <v>0</v>
      </c>
      <c r="G31" s="84">
        <f t="shared" si="1"/>
        <v>0</v>
      </c>
    </row>
    <row r="32" spans="1:7" ht="15">
      <c r="A32" s="34" t="s">
        <v>41</v>
      </c>
      <c r="B32" s="34" t="s">
        <v>43</v>
      </c>
      <c r="C32" s="285">
        <v>2638.8</v>
      </c>
      <c r="D32" s="84">
        <v>707426.93</v>
      </c>
      <c r="E32" s="84">
        <v>691867.85</v>
      </c>
      <c r="F32" s="83">
        <f t="shared" si="0"/>
        <v>707426.93</v>
      </c>
      <c r="G32" s="84">
        <f t="shared" si="1"/>
        <v>15559.080000000075</v>
      </c>
    </row>
    <row r="33" spans="1:10" s="102" customFormat="1" ht="17.25" customHeight="1" thickBot="1">
      <c r="A33" s="446" t="s">
        <v>294</v>
      </c>
      <c r="B33" s="447"/>
      <c r="C33" s="447"/>
      <c r="D33" s="448"/>
      <c r="E33" s="448"/>
      <c r="F33" s="448"/>
      <c r="G33" s="101"/>
      <c r="H33" s="101"/>
      <c r="I33" s="101"/>
      <c r="J33" s="101"/>
    </row>
    <row r="34" spans="1:9" s="67" customFormat="1" ht="15.75" thickBot="1">
      <c r="A34" s="455" t="s">
        <v>413</v>
      </c>
      <c r="B34" s="456"/>
      <c r="C34" s="456"/>
      <c r="D34" s="65">
        <v>289993.84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414</v>
      </c>
      <c r="B36" s="64"/>
      <c r="C36" s="64"/>
      <c r="D36" s="69"/>
      <c r="E36" s="70"/>
      <c r="F36" s="70"/>
      <c r="G36" s="144">
        <f>G14+E27-F27</f>
        <v>27785.29</v>
      </c>
      <c r="H36" s="62"/>
      <c r="I36" s="62"/>
    </row>
    <row r="37" spans="1:9" s="67" customFormat="1" ht="15.75" thickBot="1">
      <c r="A37" s="63" t="s">
        <v>415</v>
      </c>
      <c r="B37" s="64"/>
      <c r="C37" s="64"/>
      <c r="D37" s="69"/>
      <c r="E37" s="70"/>
      <c r="F37" s="70"/>
      <c r="G37" s="144">
        <f>G15+E26-F26</f>
        <v>-100668.98499999997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2:5" ht="8.25" customHeight="1">
      <c r="B39" s="154"/>
      <c r="C39" s="154"/>
      <c r="D39" s="154"/>
      <c r="E39" s="154"/>
    </row>
    <row r="40" spans="1:9" ht="24.75" customHeight="1">
      <c r="A40" s="444" t="s">
        <v>44</v>
      </c>
      <c r="B40" s="444"/>
      <c r="C40" s="444"/>
      <c r="D40" s="444"/>
      <c r="E40" s="444"/>
      <c r="F40" s="444"/>
      <c r="G40" s="444"/>
      <c r="H40" s="444"/>
      <c r="I40" s="444"/>
    </row>
    <row r="41" ht="8.25" customHeight="1"/>
    <row r="42" spans="1:7" s="171" customFormat="1" ht="28.5" customHeight="1">
      <c r="A42" s="105" t="s">
        <v>11</v>
      </c>
      <c r="B42" s="471" t="s">
        <v>45</v>
      </c>
      <c r="C42" s="484"/>
      <c r="D42" s="105" t="s">
        <v>163</v>
      </c>
      <c r="E42" s="105" t="s">
        <v>162</v>
      </c>
      <c r="F42" s="471" t="s">
        <v>46</v>
      </c>
      <c r="G42" s="483"/>
    </row>
    <row r="43" spans="1:7" s="114" customFormat="1" ht="13.5" customHeight="1">
      <c r="A43" s="109">
        <v>1</v>
      </c>
      <c r="B43" s="473" t="s">
        <v>111</v>
      </c>
      <c r="C43" s="491"/>
      <c r="D43" s="172"/>
      <c r="E43" s="172"/>
      <c r="F43" s="496">
        <f>SUM(F44:G47)</f>
        <v>22391.765</v>
      </c>
      <c r="G43" s="483"/>
    </row>
    <row r="44" spans="1:7" s="114" customFormat="1" ht="13.5" customHeight="1">
      <c r="A44" s="34" t="s">
        <v>16</v>
      </c>
      <c r="B44" s="493" t="s">
        <v>395</v>
      </c>
      <c r="C44" s="494"/>
      <c r="D44" s="409" t="s">
        <v>227</v>
      </c>
      <c r="E44" s="409">
        <v>0.07</v>
      </c>
      <c r="F44" s="515">
        <v>10837.11</v>
      </c>
      <c r="G44" s="515"/>
    </row>
    <row r="45" spans="1:7" s="114" customFormat="1" ht="13.5" customHeight="1">
      <c r="A45" s="34" t="s">
        <v>18</v>
      </c>
      <c r="B45" s="449" t="s">
        <v>814</v>
      </c>
      <c r="C45" s="641"/>
      <c r="D45" s="190" t="s">
        <v>391</v>
      </c>
      <c r="E45" s="152">
        <v>4</v>
      </c>
      <c r="F45" s="490">
        <v>11200</v>
      </c>
      <c r="G45" s="490"/>
    </row>
    <row r="46" spans="1:7" s="114" customFormat="1" ht="13.5" customHeight="1">
      <c r="A46" s="34" t="s">
        <v>22</v>
      </c>
      <c r="B46" s="416"/>
      <c r="C46" s="423"/>
      <c r="D46" s="409"/>
      <c r="E46" s="406"/>
      <c r="F46" s="482"/>
      <c r="G46" s="482"/>
    </row>
    <row r="47" spans="1:7" ht="13.5" customHeight="1">
      <c r="A47" s="34" t="s">
        <v>24</v>
      </c>
      <c r="B47" s="511" t="s">
        <v>188</v>
      </c>
      <c r="C47" s="512"/>
      <c r="D47" s="190"/>
      <c r="E47" s="190"/>
      <c r="F47" s="495">
        <f>E26*1%</f>
        <v>354.65500000000003</v>
      </c>
      <c r="G47" s="495"/>
    </row>
    <row r="48" s="67" customFormat="1" ht="15"/>
    <row r="49" spans="1:6" s="67" customFormat="1" ht="15">
      <c r="A49" s="67" t="s">
        <v>55</v>
      </c>
      <c r="C49" s="67" t="s">
        <v>49</v>
      </c>
      <c r="F49" s="67" t="s">
        <v>90</v>
      </c>
    </row>
    <row r="50" s="67" customFormat="1" ht="13.5" customHeight="1">
      <c r="F50" s="126" t="s">
        <v>545</v>
      </c>
    </row>
    <row r="51" s="67" customFormat="1" ht="15">
      <c r="A51" s="67" t="s">
        <v>50</v>
      </c>
    </row>
    <row r="52" spans="3:7" s="67" customFormat="1" ht="11.25" customHeight="1">
      <c r="C52" s="128" t="s">
        <v>51</v>
      </c>
      <c r="E52" s="128"/>
      <c r="F52" s="128"/>
      <c r="G52" s="128"/>
    </row>
    <row r="53" s="67" customFormat="1" ht="15"/>
    <row r="54" s="67" customFormat="1" ht="15"/>
  </sheetData>
  <sheetProtection/>
  <mergeCells count="21">
    <mergeCell ref="A1:I1"/>
    <mergeCell ref="A2:I2"/>
    <mergeCell ref="A5:I5"/>
    <mergeCell ref="A10:I10"/>
    <mergeCell ref="A3:K3"/>
    <mergeCell ref="A11:I11"/>
    <mergeCell ref="B44:C44"/>
    <mergeCell ref="A12:I12"/>
    <mergeCell ref="B43:C43"/>
    <mergeCell ref="B42:C42"/>
    <mergeCell ref="B47:C47"/>
    <mergeCell ref="F47:G47"/>
    <mergeCell ref="A34:C34"/>
    <mergeCell ref="F43:G43"/>
    <mergeCell ref="A40:I40"/>
    <mergeCell ref="F46:G46"/>
    <mergeCell ref="A33:F33"/>
    <mergeCell ref="F42:G42"/>
    <mergeCell ref="B45:C45"/>
    <mergeCell ref="F44:G44"/>
    <mergeCell ref="F45:G45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M55"/>
  <sheetViews>
    <sheetView zoomScalePageLayoutView="0" workbookViewId="0" topLeftCell="A39">
      <selection activeCell="F48" sqref="F48:G48"/>
    </sheetView>
  </sheetViews>
  <sheetFormatPr defaultColWidth="9.140625" defaultRowHeight="15" outlineLevelCol="1"/>
  <cols>
    <col min="1" max="1" width="4.7109375" style="35" customWidth="1"/>
    <col min="2" max="2" width="40.57421875" style="35" customWidth="1"/>
    <col min="3" max="3" width="13.140625" style="35" customWidth="1"/>
    <col min="4" max="4" width="12.8515625" style="35" customWidth="1"/>
    <col min="5" max="5" width="13.421875" style="35" customWidth="1"/>
    <col min="6" max="6" width="13.00390625" style="35" customWidth="1"/>
    <col min="7" max="7" width="14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0.140625" style="35" bestFit="1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7.2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11.2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3.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7" spans="1:5" s="67" customFormat="1" ht="16.5" customHeight="1">
      <c r="A7" s="67" t="s">
        <v>2</v>
      </c>
      <c r="E7" s="126" t="s">
        <v>64</v>
      </c>
    </row>
    <row r="8" spans="1:11" s="67" customFormat="1" ht="15">
      <c r="A8" s="67" t="s">
        <v>3</v>
      </c>
      <c r="E8" s="291" t="s">
        <v>224</v>
      </c>
      <c r="I8" s="199">
        <v>617.3</v>
      </c>
      <c r="J8" s="125">
        <v>2428.3</v>
      </c>
      <c r="K8" s="417">
        <f>I8+J8</f>
        <v>3045.6000000000004</v>
      </c>
    </row>
    <row r="9" spans="2:5" s="67" customFormat="1" ht="17.25" customHeight="1">
      <c r="B9" s="67" t="s">
        <v>507</v>
      </c>
      <c r="E9" s="400" t="s">
        <v>569</v>
      </c>
    </row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'[2]Социалистическая 12'!$G$36</f>
        <v>22944.420000000002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'[2]Социалистическая 12'!$G$37</f>
        <v>51155.44989999999</v>
      </c>
      <c r="H15" s="62"/>
      <c r="I15" s="62"/>
    </row>
    <row r="16" s="67" customFormat="1" ht="7.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167" customFormat="1" ht="31.5" customHeight="1">
      <c r="A18" s="75" t="s">
        <v>14</v>
      </c>
      <c r="B18" s="41" t="s">
        <v>15</v>
      </c>
      <c r="C18" s="135">
        <f>C19+C20+C21+C22+C23</f>
        <v>13.84</v>
      </c>
      <c r="D18" s="76">
        <v>407582.78</v>
      </c>
      <c r="E18" s="76">
        <v>401272</v>
      </c>
      <c r="F18" s="76">
        <f aca="true" t="shared" si="0" ref="F18:F24">D18</f>
        <v>407582.78</v>
      </c>
      <c r="G18" s="77">
        <f aca="true" t="shared" si="1" ref="G18:G23">D18-E18</f>
        <v>6310.780000000028</v>
      </c>
      <c r="H18" s="136">
        <f>C18</f>
        <v>13.84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101895.695</v>
      </c>
      <c r="E19" s="83">
        <f>E18*I19</f>
        <v>100318</v>
      </c>
      <c r="F19" s="83">
        <f t="shared" si="0"/>
        <v>101895.695</v>
      </c>
      <c r="G19" s="84">
        <f t="shared" si="1"/>
        <v>1577.695000000007</v>
      </c>
      <c r="H19" s="78">
        <f>C19</f>
        <v>3.46</v>
      </c>
      <c r="I19" s="67">
        <f>H19/H18</f>
        <v>0.25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49769.8625867052</v>
      </c>
      <c r="E20" s="83">
        <f>E18*I20</f>
        <v>48999.25433526011</v>
      </c>
      <c r="F20" s="83">
        <f t="shared" si="0"/>
        <v>49769.8625867052</v>
      </c>
      <c r="G20" s="84">
        <f t="shared" si="1"/>
        <v>770.60825144509</v>
      </c>
      <c r="H20" s="78">
        <f>C20</f>
        <v>1.69</v>
      </c>
      <c r="I20" s="67">
        <f>H20/H18</f>
        <v>0.12210982658959538</v>
      </c>
    </row>
    <row r="21" spans="1:9" s="67" customFormat="1" ht="15" customHeight="1">
      <c r="A21" s="81" t="s">
        <v>20</v>
      </c>
      <c r="B21" s="34" t="s">
        <v>21</v>
      </c>
      <c r="C21" s="99">
        <v>2.15</v>
      </c>
      <c r="D21" s="83">
        <f>D18*I21</f>
        <v>63316.68908959538</v>
      </c>
      <c r="E21" s="83">
        <f>E18*I21</f>
        <v>62336.329479768785</v>
      </c>
      <c r="F21" s="83">
        <f t="shared" si="0"/>
        <v>63316.68908959538</v>
      </c>
      <c r="G21" s="84">
        <f t="shared" si="1"/>
        <v>980.3596098265916</v>
      </c>
      <c r="H21" s="78">
        <f>C21</f>
        <v>2.15</v>
      </c>
      <c r="I21" s="67">
        <f>H21/H18</f>
        <v>0.15534682080924855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89526.85341040463</v>
      </c>
      <c r="E22" s="83">
        <f>E18*I22</f>
        <v>88140.67052023122</v>
      </c>
      <c r="F22" s="83">
        <f t="shared" si="0"/>
        <v>89526.85341040463</v>
      </c>
      <c r="G22" s="84">
        <f t="shared" si="1"/>
        <v>1386.1828901734116</v>
      </c>
      <c r="H22" s="78">
        <f>C22</f>
        <v>3.04</v>
      </c>
      <c r="I22" s="67">
        <f>H22/H18</f>
        <v>0.21965317919075145</v>
      </c>
    </row>
    <row r="23" spans="1:9" s="39" customFormat="1" ht="15" customHeight="1">
      <c r="A23" s="81" t="s">
        <v>24</v>
      </c>
      <c r="B23" s="267" t="s">
        <v>143</v>
      </c>
      <c r="C23" s="141">
        <v>3.5</v>
      </c>
      <c r="D23" s="83">
        <f>I23*D18</f>
        <v>103073.67991329482</v>
      </c>
      <c r="E23" s="83">
        <f>I23*E18</f>
        <v>101477.7456647399</v>
      </c>
      <c r="F23" s="83">
        <f t="shared" si="0"/>
        <v>103073.67991329482</v>
      </c>
      <c r="G23" s="84">
        <f t="shared" si="1"/>
        <v>1595.9342485549278</v>
      </c>
      <c r="H23" s="39">
        <v>3.5</v>
      </c>
      <c r="I23" s="67">
        <f>H23/H18</f>
        <v>0.25289017341040465</v>
      </c>
    </row>
    <row r="24" spans="1:7" s="39" customFormat="1" ht="13.5" customHeight="1">
      <c r="A24" s="41" t="s">
        <v>25</v>
      </c>
      <c r="B24" s="140" t="s">
        <v>28</v>
      </c>
      <c r="C24" s="141">
        <v>0</v>
      </c>
      <c r="D24" s="77">
        <v>0</v>
      </c>
      <c r="E24" s="77">
        <v>0</v>
      </c>
      <c r="F24" s="76">
        <f t="shared" si="0"/>
        <v>0</v>
      </c>
      <c r="G24" s="77">
        <f aca="true" t="shared" si="2" ref="G24:G32">D24-E24</f>
        <v>0</v>
      </c>
    </row>
    <row r="25" spans="1:7" s="39" customFormat="1" ht="15.75" customHeight="1">
      <c r="A25" s="41" t="s">
        <v>27</v>
      </c>
      <c r="B25" s="140" t="s">
        <v>161</v>
      </c>
      <c r="C25" s="141" t="s">
        <v>296</v>
      </c>
      <c r="D25" s="77">
        <v>0</v>
      </c>
      <c r="E25" s="77">
        <v>0</v>
      </c>
      <c r="F25" s="76">
        <f aca="true" t="shared" si="3" ref="F25:F32">D25</f>
        <v>0</v>
      </c>
      <c r="G25" s="77">
        <f t="shared" si="2"/>
        <v>0</v>
      </c>
    </row>
    <row r="26" spans="1:13" s="39" customFormat="1" ht="14.25">
      <c r="A26" s="41" t="s">
        <v>29</v>
      </c>
      <c r="B26" s="140" t="s">
        <v>116</v>
      </c>
      <c r="C26" s="141">
        <v>2.82</v>
      </c>
      <c r="D26" s="77">
        <v>82173.48</v>
      </c>
      <c r="E26" s="77">
        <v>79862.36</v>
      </c>
      <c r="F26" s="76">
        <f>F44</f>
        <v>36558.6236</v>
      </c>
      <c r="G26" s="77">
        <f t="shared" si="2"/>
        <v>2311.1199999999953</v>
      </c>
      <c r="M26" s="181"/>
    </row>
    <row r="27" spans="1:7" s="39" customFormat="1" ht="14.25">
      <c r="A27" s="41" t="s">
        <v>31</v>
      </c>
      <c r="B27" s="134" t="s">
        <v>34</v>
      </c>
      <c r="C27" s="135">
        <v>0</v>
      </c>
      <c r="D27" s="77">
        <v>0</v>
      </c>
      <c r="E27" s="77">
        <v>27.73</v>
      </c>
      <c r="F27" s="76">
        <f>D27</f>
        <v>0</v>
      </c>
      <c r="G27" s="77">
        <f t="shared" si="2"/>
        <v>-27.73</v>
      </c>
    </row>
    <row r="28" spans="1:7" s="39" customFormat="1" ht="14.25">
      <c r="A28" s="41" t="s">
        <v>191</v>
      </c>
      <c r="B28" s="134" t="s">
        <v>36</v>
      </c>
      <c r="C28" s="135"/>
      <c r="D28" s="77">
        <f>SUM(D29:D32)</f>
        <v>1556864.04</v>
      </c>
      <c r="E28" s="77">
        <f>SUM(E29:E32)</f>
        <v>1501539.84</v>
      </c>
      <c r="F28" s="76">
        <f t="shared" si="3"/>
        <v>1556864.04</v>
      </c>
      <c r="G28" s="77">
        <f t="shared" si="2"/>
        <v>55324.19999999995</v>
      </c>
    </row>
    <row r="29" spans="1:7" ht="15">
      <c r="A29" s="34" t="s">
        <v>463</v>
      </c>
      <c r="B29" s="34" t="s">
        <v>165</v>
      </c>
      <c r="C29" s="285">
        <v>6</v>
      </c>
      <c r="D29" s="84">
        <v>51917.63</v>
      </c>
      <c r="E29" s="84">
        <v>50817.43</v>
      </c>
      <c r="F29" s="83">
        <f>D29</f>
        <v>51917.63</v>
      </c>
      <c r="G29" s="84">
        <f t="shared" si="2"/>
        <v>1100.199999999997</v>
      </c>
    </row>
    <row r="30" spans="1:8" ht="15">
      <c r="A30" s="34" t="s">
        <v>464</v>
      </c>
      <c r="B30" s="34" t="s">
        <v>137</v>
      </c>
      <c r="C30" s="285">
        <v>57.08</v>
      </c>
      <c r="D30" s="84">
        <v>282263.84</v>
      </c>
      <c r="E30" s="84">
        <v>268779.9</v>
      </c>
      <c r="F30" s="83">
        <f t="shared" si="3"/>
        <v>282263.84</v>
      </c>
      <c r="G30" s="84">
        <f t="shared" si="2"/>
        <v>13483.940000000002</v>
      </c>
      <c r="H30" s="35">
        <f>33.79+23.29</f>
        <v>57.08</v>
      </c>
    </row>
    <row r="31" spans="1:7" ht="15">
      <c r="A31" s="34" t="s">
        <v>465</v>
      </c>
      <c r="B31" s="34" t="s">
        <v>340</v>
      </c>
      <c r="C31" s="286">
        <v>211.65</v>
      </c>
      <c r="D31" s="84">
        <v>459103.32</v>
      </c>
      <c r="E31" s="84">
        <v>440142.21</v>
      </c>
      <c r="F31" s="83">
        <f t="shared" si="3"/>
        <v>459103.32</v>
      </c>
      <c r="G31" s="84">
        <f t="shared" si="2"/>
        <v>18961.109999999986</v>
      </c>
    </row>
    <row r="32" spans="1:7" ht="15" customHeight="1">
      <c r="A32" s="34" t="s">
        <v>466</v>
      </c>
      <c r="B32" s="34" t="s">
        <v>43</v>
      </c>
      <c r="C32" s="285">
        <v>2638.8</v>
      </c>
      <c r="D32" s="84">
        <v>763579.25</v>
      </c>
      <c r="E32" s="84">
        <v>741800.3</v>
      </c>
      <c r="F32" s="83">
        <f t="shared" si="3"/>
        <v>763579.25</v>
      </c>
      <c r="G32" s="84">
        <f t="shared" si="2"/>
        <v>21778.949999999953</v>
      </c>
    </row>
    <row r="33" spans="1:10" s="102" customFormat="1" ht="23.25" customHeight="1" thickBot="1">
      <c r="A33" s="446" t="s">
        <v>294</v>
      </c>
      <c r="B33" s="447"/>
      <c r="C33" s="447"/>
      <c r="D33" s="448"/>
      <c r="E33" s="448"/>
      <c r="F33" s="448"/>
      <c r="G33" s="101"/>
      <c r="H33" s="101"/>
      <c r="I33" s="101"/>
      <c r="J33" s="101"/>
    </row>
    <row r="34" spans="1:9" s="67" customFormat="1" ht="15.75" thickBot="1">
      <c r="A34" s="455" t="s">
        <v>413</v>
      </c>
      <c r="B34" s="456"/>
      <c r="C34" s="456"/>
      <c r="D34" s="65">
        <v>1918019.75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414</v>
      </c>
      <c r="B36" s="64"/>
      <c r="C36" s="64"/>
      <c r="D36" s="69"/>
      <c r="E36" s="70"/>
      <c r="F36" s="70"/>
      <c r="G36" s="144">
        <f>G14+E27-F27</f>
        <v>22972.15</v>
      </c>
      <c r="H36" s="62"/>
      <c r="I36" s="62"/>
    </row>
    <row r="37" spans="1:13" s="67" customFormat="1" ht="15.75" thickBot="1">
      <c r="A37" s="63" t="s">
        <v>415</v>
      </c>
      <c r="B37" s="64"/>
      <c r="C37" s="64"/>
      <c r="D37" s="69"/>
      <c r="E37" s="70"/>
      <c r="F37" s="70"/>
      <c r="G37" s="144">
        <f>G15+E26-F26</f>
        <v>94459.1863</v>
      </c>
      <c r="H37" s="62"/>
      <c r="I37" s="62"/>
      <c r="M37" s="145"/>
    </row>
    <row r="38" spans="1:13" s="67" customFormat="1" ht="15">
      <c r="A38" s="516" t="s">
        <v>144</v>
      </c>
      <c r="B38" s="516"/>
      <c r="C38" s="68"/>
      <c r="D38" s="40"/>
      <c r="E38" s="66"/>
      <c r="F38" s="66"/>
      <c r="G38" s="40"/>
      <c r="H38" s="62"/>
      <c r="I38" s="62"/>
      <c r="M38" s="145"/>
    </row>
    <row r="39" spans="1:13" s="67" customFormat="1" ht="15">
      <c r="A39" s="517" t="s">
        <v>145</v>
      </c>
      <c r="B39" s="518"/>
      <c r="C39" s="311" t="s">
        <v>146</v>
      </c>
      <c r="D39" s="311" t="s">
        <v>147</v>
      </c>
      <c r="E39" s="312" t="s">
        <v>148</v>
      </c>
      <c r="F39" s="313" t="s">
        <v>149</v>
      </c>
      <c r="G39" s="312" t="s">
        <v>150</v>
      </c>
      <c r="H39" s="62"/>
      <c r="I39" s="62"/>
      <c r="M39" s="145"/>
    </row>
    <row r="40" spans="1:9" s="67" customFormat="1" ht="15">
      <c r="A40" s="519"/>
      <c r="B40" s="520"/>
      <c r="C40" s="316">
        <v>617.3</v>
      </c>
      <c r="D40" s="314">
        <f>E40/C40/12</f>
        <v>16.660003239915763</v>
      </c>
      <c r="E40" s="309">
        <v>123410.64</v>
      </c>
      <c r="F40" s="315">
        <v>121250.09</v>
      </c>
      <c r="G40" s="314">
        <f>E40-F40</f>
        <v>2160.550000000003</v>
      </c>
      <c r="H40" s="62"/>
      <c r="I40" s="62"/>
    </row>
    <row r="41" spans="1:9" ht="26.25" customHeight="1">
      <c r="A41" s="444" t="s">
        <v>44</v>
      </c>
      <c r="B41" s="444"/>
      <c r="C41" s="444"/>
      <c r="D41" s="444"/>
      <c r="E41" s="444"/>
      <c r="F41" s="444"/>
      <c r="G41" s="444"/>
      <c r="H41" s="444"/>
      <c r="I41" s="444"/>
    </row>
    <row r="43" spans="1:7" s="171" customFormat="1" ht="28.5" customHeight="1">
      <c r="A43" s="105" t="s">
        <v>11</v>
      </c>
      <c r="B43" s="471" t="s">
        <v>45</v>
      </c>
      <c r="C43" s="484"/>
      <c r="D43" s="105" t="s">
        <v>163</v>
      </c>
      <c r="E43" s="105" t="s">
        <v>162</v>
      </c>
      <c r="F43" s="471" t="s">
        <v>46</v>
      </c>
      <c r="G43" s="483"/>
    </row>
    <row r="44" spans="1:7" s="114" customFormat="1" ht="12.75" customHeight="1">
      <c r="A44" s="109" t="s">
        <v>47</v>
      </c>
      <c r="B44" s="473" t="s">
        <v>111</v>
      </c>
      <c r="C44" s="491"/>
      <c r="D44" s="172"/>
      <c r="E44" s="172"/>
      <c r="F44" s="496">
        <f>SUM(F45:G50)</f>
        <v>36558.6236</v>
      </c>
      <c r="G44" s="483"/>
    </row>
    <row r="45" spans="1:7" ht="20.25" customHeight="1">
      <c r="A45" s="34" t="s">
        <v>16</v>
      </c>
      <c r="B45" s="462" t="s">
        <v>561</v>
      </c>
      <c r="C45" s="489"/>
      <c r="D45" s="344"/>
      <c r="E45" s="344"/>
      <c r="F45" s="497">
        <v>17600</v>
      </c>
      <c r="G45" s="497"/>
    </row>
    <row r="46" spans="1:7" ht="12.75" customHeight="1">
      <c r="A46" s="34" t="s">
        <v>18</v>
      </c>
      <c r="B46" s="462" t="s">
        <v>562</v>
      </c>
      <c r="C46" s="489"/>
      <c r="D46" s="344" t="s">
        <v>166</v>
      </c>
      <c r="E46" s="344">
        <v>800</v>
      </c>
      <c r="F46" s="497">
        <v>6960</v>
      </c>
      <c r="G46" s="497"/>
    </row>
    <row r="47" spans="1:7" ht="12.75" customHeight="1">
      <c r="A47" s="34" t="s">
        <v>20</v>
      </c>
      <c r="B47" s="449" t="s">
        <v>814</v>
      </c>
      <c r="C47" s="451"/>
      <c r="D47" s="151" t="s">
        <v>391</v>
      </c>
      <c r="E47" s="151">
        <v>4</v>
      </c>
      <c r="F47" s="495">
        <v>11200</v>
      </c>
      <c r="G47" s="495"/>
    </row>
    <row r="48" spans="1:7" ht="12.75" customHeight="1">
      <c r="A48" s="34" t="s">
        <v>22</v>
      </c>
      <c r="B48" s="462"/>
      <c r="C48" s="489"/>
      <c r="D48" s="344"/>
      <c r="E48" s="344"/>
      <c r="F48" s="497"/>
      <c r="G48" s="497"/>
    </row>
    <row r="49" spans="1:7" ht="24" customHeight="1">
      <c r="A49" s="34" t="s">
        <v>24</v>
      </c>
      <c r="B49" s="462"/>
      <c r="C49" s="498"/>
      <c r="D49" s="344"/>
      <c r="E49" s="344"/>
      <c r="F49" s="497"/>
      <c r="G49" s="497"/>
    </row>
    <row r="50" spans="1:7" ht="12.75" customHeight="1">
      <c r="A50" s="34" t="s">
        <v>103</v>
      </c>
      <c r="B50" s="449" t="s">
        <v>188</v>
      </c>
      <c r="C50" s="451"/>
      <c r="D50" s="151"/>
      <c r="E50" s="151"/>
      <c r="F50" s="521">
        <f>E26*1%</f>
        <v>798.6236</v>
      </c>
      <c r="G50" s="522"/>
    </row>
    <row r="51" spans="2:5" ht="15">
      <c r="B51" s="154"/>
      <c r="C51" s="154"/>
      <c r="D51" s="154"/>
      <c r="E51" s="154"/>
    </row>
    <row r="52" spans="1:6" s="67" customFormat="1" ht="15">
      <c r="A52" s="67" t="s">
        <v>55</v>
      </c>
      <c r="C52" s="67" t="s">
        <v>49</v>
      </c>
      <c r="F52" s="67" t="s">
        <v>90</v>
      </c>
    </row>
    <row r="53" s="67" customFormat="1" ht="13.5" customHeight="1">
      <c r="F53" s="126" t="s">
        <v>545</v>
      </c>
    </row>
    <row r="54" s="67" customFormat="1" ht="15">
      <c r="A54" s="67" t="s">
        <v>50</v>
      </c>
    </row>
    <row r="55" spans="3:7" s="67" customFormat="1" ht="15">
      <c r="C55" s="128" t="s">
        <v>51</v>
      </c>
      <c r="E55" s="128"/>
      <c r="F55" s="128"/>
      <c r="G55" s="128"/>
    </row>
    <row r="56" s="67" customFormat="1" ht="15"/>
    <row r="57" s="67" customFormat="1" ht="15"/>
  </sheetData>
  <sheetProtection/>
  <mergeCells count="28">
    <mergeCell ref="A1:I1"/>
    <mergeCell ref="A2:I2"/>
    <mergeCell ref="A5:I5"/>
    <mergeCell ref="A10:I10"/>
    <mergeCell ref="A3:K3"/>
    <mergeCell ref="F45:G45"/>
    <mergeCell ref="B43:C43"/>
    <mergeCell ref="B44:C44"/>
    <mergeCell ref="A33:F33"/>
    <mergeCell ref="B45:C45"/>
    <mergeCell ref="F46:G46"/>
    <mergeCell ref="F47:G47"/>
    <mergeCell ref="F50:G50"/>
    <mergeCell ref="B50:C50"/>
    <mergeCell ref="B49:C49"/>
    <mergeCell ref="F49:G49"/>
    <mergeCell ref="F48:G48"/>
    <mergeCell ref="B46:C46"/>
    <mergeCell ref="B47:C47"/>
    <mergeCell ref="B48:C48"/>
    <mergeCell ref="A11:I11"/>
    <mergeCell ref="A34:C34"/>
    <mergeCell ref="A12:I12"/>
    <mergeCell ref="A41:I41"/>
    <mergeCell ref="F44:G44"/>
    <mergeCell ref="F43:G43"/>
    <mergeCell ref="A38:B38"/>
    <mergeCell ref="A39:B4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N54"/>
  <sheetViews>
    <sheetView zoomScalePageLayoutView="0" workbookViewId="0" topLeftCell="A41">
      <selection activeCell="B48" sqref="B48:C48"/>
    </sheetView>
  </sheetViews>
  <sheetFormatPr defaultColWidth="9.140625" defaultRowHeight="15" outlineLevelCol="1"/>
  <cols>
    <col min="1" max="1" width="4.7109375" style="35" customWidth="1"/>
    <col min="2" max="2" width="44.421875" style="35" customWidth="1"/>
    <col min="3" max="3" width="14.8515625" style="35" customWidth="1"/>
    <col min="4" max="4" width="12.8515625" style="35" customWidth="1"/>
    <col min="5" max="5" width="12.57421875" style="35" customWidth="1"/>
    <col min="6" max="6" width="12.003906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0.8515625" style="35" bestFit="1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6.7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4.2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7" spans="1:6" s="67" customFormat="1" ht="16.5" customHeight="1">
      <c r="A7" s="67" t="s">
        <v>2</v>
      </c>
      <c r="F7" s="126" t="s">
        <v>65</v>
      </c>
    </row>
    <row r="8" spans="1:10" s="67" customFormat="1" ht="15">
      <c r="A8" s="67" t="s">
        <v>3</v>
      </c>
      <c r="F8" s="291" t="s">
        <v>223</v>
      </c>
      <c r="I8" s="199">
        <v>408.8</v>
      </c>
      <c r="J8" s="199">
        <v>1720.2</v>
      </c>
    </row>
    <row r="9" spans="2:6" s="67" customFormat="1" ht="14.25" customHeight="1">
      <c r="B9" s="67" t="s">
        <v>507</v>
      </c>
      <c r="F9" s="291" t="s">
        <v>504</v>
      </c>
    </row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'[2]Телевизионная 2'!$G$36</f>
        <v>15064.97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'[2]Телевизионная 2'!$G$37</f>
        <v>-158723.87280000004</v>
      </c>
      <c r="H15" s="62"/>
      <c r="I15" s="62"/>
    </row>
    <row r="16" s="67" customFormat="1" ht="8.2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14" s="167" customFormat="1" ht="28.5">
      <c r="A18" s="75" t="s">
        <v>14</v>
      </c>
      <c r="B18" s="41" t="s">
        <v>15</v>
      </c>
      <c r="C18" s="135">
        <f>C19+C20+C21+C22</f>
        <v>9.879999999999999</v>
      </c>
      <c r="D18" s="76">
        <v>225617.16</v>
      </c>
      <c r="E18" s="76">
        <v>234749</v>
      </c>
      <c r="F18" s="76">
        <f>D18</f>
        <v>225617.16</v>
      </c>
      <c r="G18" s="77">
        <f>D18-E18</f>
        <v>-9131.839999999997</v>
      </c>
      <c r="H18" s="166">
        <f>C18</f>
        <v>9.879999999999999</v>
      </c>
      <c r="N18" s="166"/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79011.67748987855</v>
      </c>
      <c r="E19" s="83">
        <f>E18*I19</f>
        <v>82209.67004048584</v>
      </c>
      <c r="F19" s="83">
        <f>D19</f>
        <v>79011.67748987855</v>
      </c>
      <c r="G19" s="84">
        <f>D19-E19</f>
        <v>-3197.9925506072905</v>
      </c>
      <c r="H19" s="145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38592.40894736842</v>
      </c>
      <c r="E20" s="83">
        <f>E18*I20</f>
        <v>40154.43421052632</v>
      </c>
      <c r="F20" s="83">
        <f>D20</f>
        <v>38592.40894736842</v>
      </c>
      <c r="G20" s="84">
        <f>D20-E20</f>
        <v>-1562.0252631578987</v>
      </c>
      <c r="H20" s="145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38592.40894736842</v>
      </c>
      <c r="E21" s="83">
        <f>E18*I21</f>
        <v>40154.43421052632</v>
      </c>
      <c r="F21" s="83">
        <f>D21</f>
        <v>38592.40894736842</v>
      </c>
      <c r="G21" s="84">
        <f>D21-E21</f>
        <v>-1562.0252631578987</v>
      </c>
      <c r="H21" s="145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69420.66461538462</v>
      </c>
      <c r="E22" s="83">
        <f>E18*I22</f>
        <v>72230.46153846155</v>
      </c>
      <c r="F22" s="83">
        <f>D22</f>
        <v>69420.66461538462</v>
      </c>
      <c r="G22" s="84">
        <f>D22-E22</f>
        <v>-2809.796923076923</v>
      </c>
      <c r="H22" s="145">
        <f>C22</f>
        <v>3.04</v>
      </c>
      <c r="I22" s="67">
        <f>H22/H18</f>
        <v>0.3076923076923077</v>
      </c>
    </row>
    <row r="23" spans="1:9" s="39" customFormat="1" ht="14.25">
      <c r="A23" s="41" t="s">
        <v>25</v>
      </c>
      <c r="B23" s="86" t="s">
        <v>462</v>
      </c>
      <c r="C23" s="97">
        <v>130</v>
      </c>
      <c r="D23" s="77">
        <v>44460</v>
      </c>
      <c r="E23" s="77">
        <v>41153.56</v>
      </c>
      <c r="F23" s="76">
        <f aca="true" t="shared" si="0" ref="F23:F32">D23</f>
        <v>44460</v>
      </c>
      <c r="G23" s="77">
        <f aca="true" t="shared" si="1" ref="G23:G32">D23-E23</f>
        <v>3306.4400000000023</v>
      </c>
      <c r="H23" s="39">
        <f>38*130</f>
        <v>4940</v>
      </c>
      <c r="I23" s="39">
        <f>D23/H23</f>
        <v>9</v>
      </c>
    </row>
    <row r="24" spans="1:7" s="39" customFormat="1" ht="14.25">
      <c r="A24" s="41" t="s">
        <v>27</v>
      </c>
      <c r="B24" s="140" t="s">
        <v>28</v>
      </c>
      <c r="C24" s="97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s="39" customFormat="1" ht="14.25">
      <c r="A25" s="41" t="s">
        <v>29</v>
      </c>
      <c r="B25" s="140" t="s">
        <v>161</v>
      </c>
      <c r="C25" s="141">
        <v>1902.11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13" s="39" customFormat="1" ht="14.25">
      <c r="A26" s="41" t="s">
        <v>31</v>
      </c>
      <c r="B26" s="140" t="s">
        <v>116</v>
      </c>
      <c r="C26" s="97">
        <v>1.86</v>
      </c>
      <c r="D26" s="77">
        <v>38395.2</v>
      </c>
      <c r="E26" s="77">
        <v>40184.92</v>
      </c>
      <c r="F26" s="76">
        <f>F44</f>
        <v>93517.7092</v>
      </c>
      <c r="G26" s="77">
        <f t="shared" si="1"/>
        <v>-1789.7200000000012</v>
      </c>
      <c r="M26" s="181"/>
    </row>
    <row r="27" spans="1:7" s="39" customFormat="1" ht="14.25">
      <c r="A27" s="41" t="s">
        <v>33</v>
      </c>
      <c r="B27" s="134" t="s">
        <v>34</v>
      </c>
      <c r="C27" s="46">
        <v>0</v>
      </c>
      <c r="D27" s="77">
        <v>0</v>
      </c>
      <c r="E27" s="77">
        <v>551.38</v>
      </c>
      <c r="F27" s="76">
        <f>D27</f>
        <v>0</v>
      </c>
      <c r="G27" s="77">
        <f t="shared" si="1"/>
        <v>-551.38</v>
      </c>
    </row>
    <row r="28" spans="1:7" s="39" customFormat="1" ht="14.25">
      <c r="A28" s="41" t="s">
        <v>35</v>
      </c>
      <c r="B28" s="134" t="s">
        <v>36</v>
      </c>
      <c r="C28" s="97"/>
      <c r="D28" s="77">
        <f>SUM(D29:D32)</f>
        <v>781246.45</v>
      </c>
      <c r="E28" s="77">
        <f>SUM(E29:E32)</f>
        <v>795008.56</v>
      </c>
      <c r="F28" s="76">
        <f t="shared" si="0"/>
        <v>781246.45</v>
      </c>
      <c r="G28" s="77">
        <f t="shared" si="1"/>
        <v>-13762.110000000102</v>
      </c>
    </row>
    <row r="29" spans="1:7" ht="15">
      <c r="A29" s="34" t="s">
        <v>37</v>
      </c>
      <c r="B29" s="34" t="s">
        <v>165</v>
      </c>
      <c r="C29" s="285">
        <v>6</v>
      </c>
      <c r="D29" s="84">
        <v>23400.6</v>
      </c>
      <c r="E29" s="84">
        <v>23353.23</v>
      </c>
      <c r="F29" s="83">
        <f>D29</f>
        <v>23400.6</v>
      </c>
      <c r="G29" s="84">
        <f t="shared" si="1"/>
        <v>47.36999999999898</v>
      </c>
    </row>
    <row r="30" spans="1:7" ht="15">
      <c r="A30" s="34" t="s">
        <v>39</v>
      </c>
      <c r="B30" s="34" t="s">
        <v>137</v>
      </c>
      <c r="C30" s="285">
        <v>57.08</v>
      </c>
      <c r="D30" s="84">
        <v>239189.62</v>
      </c>
      <c r="E30" s="84">
        <v>244489.73</v>
      </c>
      <c r="F30" s="83">
        <f t="shared" si="0"/>
        <v>239189.62</v>
      </c>
      <c r="G30" s="84">
        <f t="shared" si="1"/>
        <v>-5300.110000000015</v>
      </c>
    </row>
    <row r="31" spans="1:7" ht="15">
      <c r="A31" s="34" t="s">
        <v>42</v>
      </c>
      <c r="B31" s="34" t="s">
        <v>340</v>
      </c>
      <c r="C31" s="286">
        <v>0</v>
      </c>
      <c r="D31" s="84">
        <v>0</v>
      </c>
      <c r="E31" s="84">
        <v>0</v>
      </c>
      <c r="F31" s="83">
        <f t="shared" si="0"/>
        <v>0</v>
      </c>
      <c r="G31" s="84">
        <f t="shared" si="1"/>
        <v>0</v>
      </c>
    </row>
    <row r="32" spans="1:7" ht="15">
      <c r="A32" s="34" t="s">
        <v>41</v>
      </c>
      <c r="B32" s="34" t="s">
        <v>43</v>
      </c>
      <c r="C32" s="285">
        <v>2638.8</v>
      </c>
      <c r="D32" s="84">
        <v>518656.23</v>
      </c>
      <c r="E32" s="84">
        <v>527165.6</v>
      </c>
      <c r="F32" s="83">
        <f t="shared" si="0"/>
        <v>518656.23</v>
      </c>
      <c r="G32" s="84">
        <f t="shared" si="1"/>
        <v>-8509.369999999995</v>
      </c>
    </row>
    <row r="33" spans="1:10" s="102" customFormat="1" ht="21" customHeight="1" thickBot="1">
      <c r="A33" s="446" t="s">
        <v>294</v>
      </c>
      <c r="B33" s="447"/>
      <c r="C33" s="447"/>
      <c r="D33" s="448"/>
      <c r="E33" s="448"/>
      <c r="F33" s="448"/>
      <c r="G33" s="101"/>
      <c r="H33" s="101"/>
      <c r="I33" s="101"/>
      <c r="J33" s="101"/>
    </row>
    <row r="34" spans="1:9" s="67" customFormat="1" ht="15.75" thickBot="1">
      <c r="A34" s="455" t="s">
        <v>413</v>
      </c>
      <c r="B34" s="456"/>
      <c r="C34" s="456"/>
      <c r="D34" s="65">
        <v>523704.76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414</v>
      </c>
      <c r="B36" s="64"/>
      <c r="C36" s="64"/>
      <c r="D36" s="69"/>
      <c r="E36" s="70"/>
      <c r="F36" s="70"/>
      <c r="G36" s="144">
        <f>G14+E27-F27</f>
        <v>15616.349999999999</v>
      </c>
      <c r="H36" s="62"/>
      <c r="I36" s="62"/>
    </row>
    <row r="37" spans="1:13" s="67" customFormat="1" ht="15.75" thickBot="1">
      <c r="A37" s="63" t="s">
        <v>415</v>
      </c>
      <c r="B37" s="64"/>
      <c r="C37" s="64"/>
      <c r="D37" s="69"/>
      <c r="E37" s="70"/>
      <c r="F37" s="70"/>
      <c r="G37" s="144">
        <f>G15+E26-F26</f>
        <v>-212056.66200000004</v>
      </c>
      <c r="H37" s="62"/>
      <c r="I37" s="62"/>
      <c r="M37" s="145"/>
    </row>
    <row r="38" spans="1:13" s="67" customFormat="1" ht="15">
      <c r="A38" s="516" t="s">
        <v>144</v>
      </c>
      <c r="B38" s="516"/>
      <c r="C38" s="68"/>
      <c r="D38" s="40"/>
      <c r="E38" s="66"/>
      <c r="F38" s="66"/>
      <c r="G38" s="40"/>
      <c r="H38" s="62"/>
      <c r="I38" s="62"/>
      <c r="M38" s="145"/>
    </row>
    <row r="39" spans="1:13" s="67" customFormat="1" ht="15">
      <c r="A39" s="517" t="s">
        <v>145</v>
      </c>
      <c r="B39" s="518"/>
      <c r="C39" s="311" t="s">
        <v>146</v>
      </c>
      <c r="D39" s="311" t="s">
        <v>147</v>
      </c>
      <c r="E39" s="312" t="s">
        <v>148</v>
      </c>
      <c r="F39" s="313" t="s">
        <v>149</v>
      </c>
      <c r="G39" s="312" t="s">
        <v>150</v>
      </c>
      <c r="H39" s="62"/>
      <c r="I39" s="62"/>
      <c r="M39" s="145"/>
    </row>
    <row r="40" spans="1:9" s="67" customFormat="1" ht="15">
      <c r="A40" s="519"/>
      <c r="B40" s="520"/>
      <c r="C40" s="316">
        <v>408.8</v>
      </c>
      <c r="D40" s="314">
        <f>E40/C40/12</f>
        <v>11.679990215264189</v>
      </c>
      <c r="E40" s="309">
        <v>57297.36</v>
      </c>
      <c r="F40" s="315">
        <v>54435.76</v>
      </c>
      <c r="G40" s="314">
        <f>E40-F40</f>
        <v>2861.5999999999985</v>
      </c>
      <c r="H40" s="62"/>
      <c r="I40" s="62"/>
    </row>
    <row r="41" spans="1:9" ht="27" customHeight="1">
      <c r="A41" s="444" t="s">
        <v>44</v>
      </c>
      <c r="B41" s="444"/>
      <c r="C41" s="444"/>
      <c r="D41" s="444"/>
      <c r="E41" s="444"/>
      <c r="F41" s="444"/>
      <c r="G41" s="444"/>
      <c r="H41" s="444"/>
      <c r="I41" s="444"/>
    </row>
    <row r="42" ht="4.5" customHeight="1"/>
    <row r="43" spans="1:7" s="171" customFormat="1" ht="28.5" customHeight="1">
      <c r="A43" s="105" t="s">
        <v>11</v>
      </c>
      <c r="B43" s="471" t="s">
        <v>45</v>
      </c>
      <c r="C43" s="484"/>
      <c r="D43" s="105" t="s">
        <v>163</v>
      </c>
      <c r="E43" s="105" t="s">
        <v>162</v>
      </c>
      <c r="F43" s="471" t="s">
        <v>46</v>
      </c>
      <c r="G43" s="483"/>
    </row>
    <row r="44" spans="1:7" s="114" customFormat="1" ht="12.75" customHeight="1">
      <c r="A44" s="109" t="s">
        <v>47</v>
      </c>
      <c r="B44" s="473" t="s">
        <v>111</v>
      </c>
      <c r="C44" s="491"/>
      <c r="D44" s="110"/>
      <c r="E44" s="110"/>
      <c r="F44" s="496">
        <f>SUM(F45:G49)</f>
        <v>93517.7092</v>
      </c>
      <c r="G44" s="483"/>
    </row>
    <row r="45" spans="1:7" ht="12.75" customHeight="1">
      <c r="A45" s="34" t="s">
        <v>16</v>
      </c>
      <c r="B45" s="462" t="s">
        <v>563</v>
      </c>
      <c r="C45" s="489"/>
      <c r="D45" s="403" t="s">
        <v>216</v>
      </c>
      <c r="E45" s="405">
        <v>0.08</v>
      </c>
      <c r="F45" s="525">
        <v>12715.86</v>
      </c>
      <c r="G45" s="526"/>
    </row>
    <row r="46" spans="1:7" ht="12.75" customHeight="1">
      <c r="A46" s="34" t="s">
        <v>18</v>
      </c>
      <c r="B46" s="462" t="s">
        <v>564</v>
      </c>
      <c r="C46" s="489"/>
      <c r="D46" s="403"/>
      <c r="E46" s="403"/>
      <c r="F46" s="525">
        <v>48000</v>
      </c>
      <c r="G46" s="526"/>
    </row>
    <row r="47" spans="1:7" ht="12.75" customHeight="1">
      <c r="A47" s="34" t="s">
        <v>20</v>
      </c>
      <c r="B47" s="462" t="s">
        <v>565</v>
      </c>
      <c r="C47" s="489"/>
      <c r="D47" s="403"/>
      <c r="E47" s="403"/>
      <c r="F47" s="525">
        <v>24000</v>
      </c>
      <c r="G47" s="526"/>
    </row>
    <row r="48" spans="1:7" ht="12.75" customHeight="1">
      <c r="A48" s="34" t="s">
        <v>22</v>
      </c>
      <c r="B48" s="511" t="s">
        <v>814</v>
      </c>
      <c r="C48" s="512"/>
      <c r="D48" s="124" t="s">
        <v>391</v>
      </c>
      <c r="E48" s="124">
        <v>3</v>
      </c>
      <c r="F48" s="523">
        <v>8400</v>
      </c>
      <c r="G48" s="524"/>
    </row>
    <row r="49" spans="1:7" ht="12.75" customHeight="1">
      <c r="A49" s="34" t="s">
        <v>24</v>
      </c>
      <c r="B49" s="511" t="s">
        <v>188</v>
      </c>
      <c r="C49" s="512"/>
      <c r="D49" s="124"/>
      <c r="E49" s="124"/>
      <c r="F49" s="521">
        <f>E26*1%</f>
        <v>401.8492</v>
      </c>
      <c r="G49" s="522"/>
    </row>
    <row r="50" spans="1:7" ht="12.75" customHeight="1">
      <c r="A50" s="168"/>
      <c r="B50" s="93"/>
      <c r="C50" s="93"/>
      <c r="D50" s="94"/>
      <c r="E50" s="94"/>
      <c r="F50" s="180"/>
      <c r="G50" s="180"/>
    </row>
    <row r="51" spans="1:6" s="67" customFormat="1" ht="15">
      <c r="A51" s="67" t="s">
        <v>55</v>
      </c>
      <c r="C51" s="67" t="s">
        <v>49</v>
      </c>
      <c r="F51" s="67" t="s">
        <v>90</v>
      </c>
    </row>
    <row r="52" s="67" customFormat="1" ht="13.5" customHeight="1">
      <c r="F52" s="126" t="s">
        <v>545</v>
      </c>
    </row>
    <row r="53" s="67" customFormat="1" ht="15">
      <c r="A53" s="67" t="s">
        <v>50</v>
      </c>
    </row>
    <row r="54" spans="3:7" s="67" customFormat="1" ht="15">
      <c r="C54" s="128" t="s">
        <v>51</v>
      </c>
      <c r="E54" s="128"/>
      <c r="F54" s="128"/>
      <c r="G54" s="128"/>
    </row>
    <row r="55" s="67" customFormat="1" ht="15"/>
    <row r="56" s="67" customFormat="1" ht="15"/>
  </sheetData>
  <sheetProtection/>
  <mergeCells count="26">
    <mergeCell ref="A1:I1"/>
    <mergeCell ref="A2:I2"/>
    <mergeCell ref="A5:I5"/>
    <mergeCell ref="A10:I10"/>
    <mergeCell ref="A3:K3"/>
    <mergeCell ref="F49:G49"/>
    <mergeCell ref="B49:C49"/>
    <mergeCell ref="F46:G46"/>
    <mergeCell ref="B46:C46"/>
    <mergeCell ref="F44:G44"/>
    <mergeCell ref="A11:I11"/>
    <mergeCell ref="A12:I12"/>
    <mergeCell ref="A41:I41"/>
    <mergeCell ref="F43:G43"/>
    <mergeCell ref="B43:C43"/>
    <mergeCell ref="A33:F33"/>
    <mergeCell ref="A38:B38"/>
    <mergeCell ref="A39:B40"/>
    <mergeCell ref="B48:C48"/>
    <mergeCell ref="F48:G48"/>
    <mergeCell ref="B44:C44"/>
    <mergeCell ref="A34:C34"/>
    <mergeCell ref="F45:G45"/>
    <mergeCell ref="B45:C45"/>
    <mergeCell ref="F47:G47"/>
    <mergeCell ref="B47:C47"/>
  </mergeCells>
  <printOptions/>
  <pageMargins left="0" right="0" top="0" bottom="0" header="0.31496062992125984" footer="0.3149606299212598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M52"/>
  <sheetViews>
    <sheetView zoomScalePageLayoutView="0" workbookViewId="0" topLeftCell="A35">
      <selection activeCell="A48" sqref="A48"/>
    </sheetView>
  </sheetViews>
  <sheetFormatPr defaultColWidth="9.140625" defaultRowHeight="15" outlineLevelCol="1"/>
  <cols>
    <col min="1" max="1" width="4.7109375" style="35" customWidth="1"/>
    <col min="2" max="2" width="41.421875" style="35" customWidth="1"/>
    <col min="3" max="3" width="13.28125" style="35" customWidth="1"/>
    <col min="4" max="4" width="13.57421875" style="35" customWidth="1"/>
    <col min="5" max="5" width="13.140625" style="35" customWidth="1"/>
    <col min="6" max="6" width="12.8515625" style="35" customWidth="1"/>
    <col min="7" max="7" width="13.28125" style="35" customWidth="1"/>
    <col min="8" max="8" width="10.8515625" style="35" hidden="1" customWidth="1" outlineLevel="1"/>
    <col min="9" max="9" width="14.421875" style="35" hidden="1" customWidth="1" outlineLevel="1"/>
    <col min="10" max="11" width="9.140625" style="35" hidden="1" customWidth="1" outlineLevel="1"/>
    <col min="12" max="12" width="9.140625" style="35" hidden="1" customWidth="1" outlineLevel="1" collapsed="1"/>
    <col min="13" max="13" width="10.140625" style="35" bestFit="1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7.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5.7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3.75" customHeight="1"/>
    <row r="7" spans="1:6" s="67" customFormat="1" ht="16.5" customHeight="1">
      <c r="A7" s="67" t="s">
        <v>2</v>
      </c>
      <c r="F7" s="126" t="s">
        <v>66</v>
      </c>
    </row>
    <row r="8" spans="1:6" s="67" customFormat="1" ht="15">
      <c r="A8" s="67" t="s">
        <v>3</v>
      </c>
      <c r="F8" s="291" t="s">
        <v>131</v>
      </c>
    </row>
    <row r="9" s="67" customFormat="1" ht="18" customHeight="1"/>
    <row r="10" spans="1:9" s="67" customFormat="1" ht="11.25" customHeight="1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3.5" customHeight="1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2.75" customHeight="1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'[2]Телевизионная 4'!$G$36</f>
        <v>20474.78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'[2]Телевизионная 4'!$G$37</f>
        <v>22965.521099999984</v>
      </c>
      <c r="H15" s="62"/>
      <c r="I15" s="62"/>
    </row>
    <row r="16" s="67" customFormat="1" ht="8.2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167" customFormat="1" ht="29.25">
      <c r="A18" s="75" t="s">
        <v>14</v>
      </c>
      <c r="B18" s="41" t="s">
        <v>15</v>
      </c>
      <c r="C18" s="135">
        <f>C19+C20+C21+C22</f>
        <v>9.879999999999999</v>
      </c>
      <c r="D18" s="76">
        <v>243008.29</v>
      </c>
      <c r="E18" s="76">
        <v>273929.22</v>
      </c>
      <c r="F18" s="76">
        <f>D18</f>
        <v>243008.29</v>
      </c>
      <c r="G18" s="77">
        <f>D18-E18</f>
        <v>-30920.929999999964</v>
      </c>
      <c r="H18" s="145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85102.09346153848</v>
      </c>
      <c r="E19" s="83">
        <f>E18*I19</f>
        <v>95930.6782591093</v>
      </c>
      <c r="F19" s="83">
        <f>D19</f>
        <v>85102.09346153848</v>
      </c>
      <c r="G19" s="84">
        <f>D19-E19</f>
        <v>-10828.584797570831</v>
      </c>
      <c r="H19" s="145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41567.207500000004</v>
      </c>
      <c r="E20" s="83">
        <f>E18*I20</f>
        <v>46856.31394736842</v>
      </c>
      <c r="F20" s="83">
        <f>D20</f>
        <v>41567.207500000004</v>
      </c>
      <c r="G20" s="84">
        <f>D20-E20</f>
        <v>-5289.106447368416</v>
      </c>
      <c r="H20" s="145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41567.207500000004</v>
      </c>
      <c r="E21" s="83">
        <f>E18*I21</f>
        <v>46856.31394736842</v>
      </c>
      <c r="F21" s="83">
        <f>D21</f>
        <v>41567.207500000004</v>
      </c>
      <c r="G21" s="84">
        <f>D21-E21</f>
        <v>-5289.106447368416</v>
      </c>
      <c r="H21" s="145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74771.78153846154</v>
      </c>
      <c r="E22" s="83">
        <f>E18*I22</f>
        <v>84285.91384615384</v>
      </c>
      <c r="F22" s="83">
        <f>D22</f>
        <v>74771.78153846154</v>
      </c>
      <c r="G22" s="84">
        <f>D22-E22</f>
        <v>-9514.1323076923</v>
      </c>
      <c r="H22" s="145">
        <f>C22</f>
        <v>3.04</v>
      </c>
      <c r="I22" s="67">
        <f>H22/H18</f>
        <v>0.3076923076923077</v>
      </c>
    </row>
    <row r="23" spans="1:7" s="39" customFormat="1" ht="14.25">
      <c r="A23" s="41" t="s">
        <v>25</v>
      </c>
      <c r="B23" s="86" t="s">
        <v>462</v>
      </c>
      <c r="C23" s="97">
        <v>125</v>
      </c>
      <c r="D23" s="77">
        <v>51375.01</v>
      </c>
      <c r="E23" s="77">
        <v>51240.07</v>
      </c>
      <c r="F23" s="76">
        <f aca="true" t="shared" si="0" ref="F23:F32">D23</f>
        <v>51375.01</v>
      </c>
      <c r="G23" s="77">
        <f aca="true" t="shared" si="1" ref="G23:G32">D23-E23</f>
        <v>134.94000000000233</v>
      </c>
    </row>
    <row r="24" spans="1:7" s="39" customFormat="1" ht="14.25">
      <c r="A24" s="41" t="s">
        <v>27</v>
      </c>
      <c r="B24" s="140" t="s">
        <v>28</v>
      </c>
      <c r="C24" s="97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s="39" customFormat="1" ht="14.25">
      <c r="A25" s="41" t="s">
        <v>29</v>
      </c>
      <c r="B25" s="140" t="s">
        <v>161</v>
      </c>
      <c r="C25" s="141">
        <v>12.54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13" s="39" customFormat="1" ht="14.25">
      <c r="A26" s="41" t="s">
        <v>31</v>
      </c>
      <c r="B26" s="140" t="s">
        <v>116</v>
      </c>
      <c r="C26" s="97">
        <v>1.86</v>
      </c>
      <c r="D26" s="77">
        <v>43171.2</v>
      </c>
      <c r="E26" s="77">
        <v>49548.87</v>
      </c>
      <c r="F26" s="76">
        <f>F43</f>
        <v>8895.4887</v>
      </c>
      <c r="G26" s="77">
        <f t="shared" si="1"/>
        <v>-6377.6700000000055</v>
      </c>
      <c r="M26" s="181"/>
    </row>
    <row r="27" spans="1:7" s="39" customFormat="1" ht="14.25">
      <c r="A27" s="41" t="s">
        <v>33</v>
      </c>
      <c r="B27" s="134" t="s">
        <v>34</v>
      </c>
      <c r="C27" s="46">
        <v>0</v>
      </c>
      <c r="D27" s="77">
        <v>0</v>
      </c>
      <c r="E27" s="77">
        <v>2868.02</v>
      </c>
      <c r="F27" s="76">
        <f>D27</f>
        <v>0</v>
      </c>
      <c r="G27" s="77">
        <f t="shared" si="1"/>
        <v>-2868.02</v>
      </c>
    </row>
    <row r="28" spans="1:7" s="39" customFormat="1" ht="14.25">
      <c r="A28" s="41" t="s">
        <v>35</v>
      </c>
      <c r="B28" s="134" t="s">
        <v>36</v>
      </c>
      <c r="C28" s="97"/>
      <c r="D28" s="77">
        <f>SUM(D29:D32)</f>
        <v>1217578.84</v>
      </c>
      <c r="E28" s="77">
        <f>SUM(E29:E32)</f>
        <v>1351647.1800000002</v>
      </c>
      <c r="F28" s="76">
        <f t="shared" si="0"/>
        <v>1217578.84</v>
      </c>
      <c r="G28" s="77">
        <f t="shared" si="1"/>
        <v>-134068.34000000008</v>
      </c>
    </row>
    <row r="29" spans="1:7" ht="15">
      <c r="A29" s="34" t="s">
        <v>37</v>
      </c>
      <c r="B29" s="34" t="s">
        <v>165</v>
      </c>
      <c r="C29" s="285">
        <v>6</v>
      </c>
      <c r="D29" s="84">
        <v>23221.08</v>
      </c>
      <c r="E29" s="84">
        <v>24361.93</v>
      </c>
      <c r="F29" s="83">
        <f>D29</f>
        <v>23221.08</v>
      </c>
      <c r="G29" s="84">
        <f t="shared" si="1"/>
        <v>-1140.8499999999985</v>
      </c>
    </row>
    <row r="30" spans="1:7" ht="15">
      <c r="A30" s="34" t="s">
        <v>39</v>
      </c>
      <c r="B30" s="34" t="s">
        <v>137</v>
      </c>
      <c r="C30" s="285">
        <v>57.08</v>
      </c>
      <c r="D30" s="84">
        <v>351182.49</v>
      </c>
      <c r="E30" s="84">
        <v>427712.32</v>
      </c>
      <c r="F30" s="83">
        <f t="shared" si="0"/>
        <v>351182.49</v>
      </c>
      <c r="G30" s="84">
        <f t="shared" si="1"/>
        <v>-76529.83000000002</v>
      </c>
    </row>
    <row r="31" spans="1:7" ht="15">
      <c r="A31" s="34" t="s">
        <v>42</v>
      </c>
      <c r="B31" s="34" t="s">
        <v>40</v>
      </c>
      <c r="C31" s="286">
        <v>0</v>
      </c>
      <c r="D31" s="84">
        <v>0</v>
      </c>
      <c r="E31" s="84">
        <v>0</v>
      </c>
      <c r="F31" s="83">
        <f t="shared" si="0"/>
        <v>0</v>
      </c>
      <c r="G31" s="84">
        <f t="shared" si="1"/>
        <v>0</v>
      </c>
    </row>
    <row r="32" spans="1:7" ht="15">
      <c r="A32" s="34" t="s">
        <v>41</v>
      </c>
      <c r="B32" s="34" t="s">
        <v>43</v>
      </c>
      <c r="C32" s="285">
        <v>2638.8</v>
      </c>
      <c r="D32" s="84">
        <v>843175.27</v>
      </c>
      <c r="E32" s="84">
        <v>899572.93</v>
      </c>
      <c r="F32" s="83">
        <f t="shared" si="0"/>
        <v>843175.27</v>
      </c>
      <c r="G32" s="84">
        <f t="shared" si="1"/>
        <v>-56397.66000000003</v>
      </c>
    </row>
    <row r="33" spans="1:10" s="102" customFormat="1" ht="17.25" customHeight="1" thickBot="1">
      <c r="A33" s="446" t="s">
        <v>294</v>
      </c>
      <c r="B33" s="447"/>
      <c r="C33" s="447"/>
      <c r="D33" s="448"/>
      <c r="E33" s="448"/>
      <c r="F33" s="448"/>
      <c r="G33" s="101"/>
      <c r="H33" s="101"/>
      <c r="I33" s="101"/>
      <c r="J33" s="101"/>
    </row>
    <row r="34" spans="1:9" s="67" customFormat="1" ht="15.75" thickBot="1">
      <c r="A34" s="455" t="s">
        <v>413</v>
      </c>
      <c r="B34" s="456"/>
      <c r="C34" s="456"/>
      <c r="D34" s="65">
        <v>478672.69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414</v>
      </c>
      <c r="B36" s="64"/>
      <c r="C36" s="64"/>
      <c r="D36" s="69"/>
      <c r="E36" s="70"/>
      <c r="F36" s="70"/>
      <c r="G36" s="144">
        <f>G14+E27-F27</f>
        <v>23342.8</v>
      </c>
      <c r="H36" s="62"/>
      <c r="I36" s="62"/>
    </row>
    <row r="37" spans="1:9" s="67" customFormat="1" ht="15.75" thickBot="1">
      <c r="A37" s="63" t="s">
        <v>415</v>
      </c>
      <c r="B37" s="64"/>
      <c r="C37" s="64"/>
      <c r="D37" s="69"/>
      <c r="E37" s="70"/>
      <c r="F37" s="70"/>
      <c r="G37" s="144">
        <f>G15+E26-F26</f>
        <v>63618.90239999998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="67" customFormat="1" ht="9" customHeight="1"/>
    <row r="40" spans="1:9" ht="23.25" customHeight="1">
      <c r="A40" s="444" t="s">
        <v>44</v>
      </c>
      <c r="B40" s="444"/>
      <c r="C40" s="444"/>
      <c r="D40" s="444"/>
      <c r="E40" s="444"/>
      <c r="F40" s="444"/>
      <c r="G40" s="444"/>
      <c r="H40" s="444"/>
      <c r="I40" s="444"/>
    </row>
    <row r="41" ht="6.75" customHeight="1"/>
    <row r="42" spans="1:7" s="171" customFormat="1" ht="28.5" customHeight="1">
      <c r="A42" s="105" t="s">
        <v>11</v>
      </c>
      <c r="B42" s="471" t="s">
        <v>45</v>
      </c>
      <c r="C42" s="484"/>
      <c r="D42" s="105" t="s">
        <v>163</v>
      </c>
      <c r="E42" s="105" t="s">
        <v>162</v>
      </c>
      <c r="F42" s="471" t="s">
        <v>46</v>
      </c>
      <c r="G42" s="483"/>
    </row>
    <row r="43" spans="1:7" s="114" customFormat="1" ht="13.5" customHeight="1">
      <c r="A43" s="109" t="s">
        <v>47</v>
      </c>
      <c r="B43" s="473" t="s">
        <v>111</v>
      </c>
      <c r="C43" s="491"/>
      <c r="D43" s="110"/>
      <c r="E43" s="110"/>
      <c r="F43" s="496">
        <f>SUM(F44:G47)</f>
        <v>8895.4887</v>
      </c>
      <c r="G43" s="483"/>
    </row>
    <row r="44" spans="1:7" s="114" customFormat="1" ht="13.5" customHeight="1">
      <c r="A44" s="34" t="s">
        <v>16</v>
      </c>
      <c r="B44" s="529" t="s">
        <v>814</v>
      </c>
      <c r="C44" s="530"/>
      <c r="D44" s="194" t="s">
        <v>391</v>
      </c>
      <c r="E44" s="194">
        <v>3</v>
      </c>
      <c r="F44" s="521">
        <v>8400</v>
      </c>
      <c r="G44" s="522"/>
    </row>
    <row r="45" spans="1:7" s="114" customFormat="1" ht="13.5" customHeight="1">
      <c r="A45" s="34" t="s">
        <v>18</v>
      </c>
      <c r="B45" s="527"/>
      <c r="C45" s="528"/>
      <c r="D45" s="339"/>
      <c r="E45" s="339"/>
      <c r="F45" s="525"/>
      <c r="G45" s="526"/>
    </row>
    <row r="46" spans="1:7" s="114" customFormat="1" ht="13.5" customHeight="1">
      <c r="A46" s="34" t="s">
        <v>20</v>
      </c>
      <c r="B46" s="527"/>
      <c r="C46" s="528"/>
      <c r="D46" s="339"/>
      <c r="E46" s="339"/>
      <c r="F46" s="525"/>
      <c r="G46" s="526"/>
    </row>
    <row r="47" spans="1:7" ht="13.5" customHeight="1">
      <c r="A47" s="34" t="s">
        <v>22</v>
      </c>
      <c r="B47" s="529" t="s">
        <v>188</v>
      </c>
      <c r="C47" s="530"/>
      <c r="D47" s="124"/>
      <c r="E47" s="124"/>
      <c r="F47" s="521">
        <f>E26*1%</f>
        <v>495.48870000000005</v>
      </c>
      <c r="G47" s="522"/>
    </row>
    <row r="48" spans="1:7" ht="15.75" customHeight="1">
      <c r="A48" s="168"/>
      <c r="B48" s="93"/>
      <c r="C48" s="93"/>
      <c r="D48" s="93"/>
      <c r="E48" s="93"/>
      <c r="F48" s="180"/>
      <c r="G48" s="180"/>
    </row>
    <row r="49" spans="1:6" s="67" customFormat="1" ht="15">
      <c r="A49" s="67" t="s">
        <v>55</v>
      </c>
      <c r="C49" s="67" t="s">
        <v>49</v>
      </c>
      <c r="F49" s="67" t="s">
        <v>90</v>
      </c>
    </row>
    <row r="50" s="67" customFormat="1" ht="13.5" customHeight="1">
      <c r="F50" s="126" t="s">
        <v>545</v>
      </c>
    </row>
    <row r="51" s="67" customFormat="1" ht="21" customHeight="1">
      <c r="A51" s="67" t="s">
        <v>50</v>
      </c>
    </row>
    <row r="52" spans="3:7" s="67" customFormat="1" ht="15">
      <c r="C52" s="128" t="s">
        <v>51</v>
      </c>
      <c r="E52" s="128"/>
      <c r="F52" s="128"/>
      <c r="G52" s="128"/>
    </row>
    <row r="53" s="67" customFormat="1" ht="15"/>
    <row r="54" s="67" customFormat="1" ht="15"/>
  </sheetData>
  <sheetProtection/>
  <mergeCells count="22">
    <mergeCell ref="B44:C44"/>
    <mergeCell ref="F44:G44"/>
    <mergeCell ref="F47:G47"/>
    <mergeCell ref="B47:C47"/>
    <mergeCell ref="A12:I12"/>
    <mergeCell ref="A34:C34"/>
    <mergeCell ref="A40:I40"/>
    <mergeCell ref="F42:G42"/>
    <mergeCell ref="F43:G43"/>
    <mergeCell ref="A33:F33"/>
    <mergeCell ref="B42:C42"/>
    <mergeCell ref="B43:C43"/>
    <mergeCell ref="A1:I1"/>
    <mergeCell ref="A2:I2"/>
    <mergeCell ref="A5:I5"/>
    <mergeCell ref="A10:I10"/>
    <mergeCell ref="A3:K3"/>
    <mergeCell ref="A11:I11"/>
    <mergeCell ref="B45:C45"/>
    <mergeCell ref="F45:G45"/>
    <mergeCell ref="F46:G46"/>
    <mergeCell ref="B46:C46"/>
  </mergeCells>
  <printOptions/>
  <pageMargins left="0" right="0" top="0" bottom="0" header="0.31496062992125984" footer="0.31496062992125984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M53"/>
  <sheetViews>
    <sheetView zoomScalePageLayoutView="0" workbookViewId="0" topLeftCell="A35">
      <selection activeCell="G38" sqref="G38"/>
    </sheetView>
  </sheetViews>
  <sheetFormatPr defaultColWidth="9.140625" defaultRowHeight="15" outlineLevelCol="1"/>
  <cols>
    <col min="1" max="1" width="4.7109375" style="35" customWidth="1"/>
    <col min="2" max="2" width="43.28125" style="35" customWidth="1"/>
    <col min="3" max="3" width="13.140625" style="35" customWidth="1"/>
    <col min="4" max="4" width="12.00390625" style="35" customWidth="1"/>
    <col min="5" max="5" width="12.57421875" style="35" customWidth="1"/>
    <col min="6" max="6" width="11.1406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8515625" style="35" bestFit="1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4.2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6.7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4.2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4.5" customHeight="1"/>
    <row r="7" spans="1:6" s="67" customFormat="1" ht="16.5" customHeight="1">
      <c r="A7" s="67" t="s">
        <v>2</v>
      </c>
      <c r="F7" s="126" t="s">
        <v>67</v>
      </c>
    </row>
    <row r="8" spans="1:6" s="67" customFormat="1" ht="15">
      <c r="A8" s="67" t="s">
        <v>3</v>
      </c>
      <c r="F8" s="126" t="s">
        <v>345</v>
      </c>
    </row>
    <row r="9" s="67" customFormat="1" ht="7.5" customHeight="1"/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'[2]Чичерина 7а'!$G$36</f>
        <v>15589.809999999998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'[2]Чичерина 7а'!$G$37</f>
        <v>111479.10740000001</v>
      </c>
      <c r="H15" s="62"/>
      <c r="I15" s="62"/>
    </row>
    <row r="16" s="67" customFormat="1" ht="9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167" customFormat="1" ht="28.5">
      <c r="A18" s="75" t="s">
        <v>14</v>
      </c>
      <c r="B18" s="41" t="s">
        <v>15</v>
      </c>
      <c r="C18" s="135">
        <f>C19+C20+C21+C22</f>
        <v>9.879999999999999</v>
      </c>
      <c r="D18" s="76">
        <v>173921.6</v>
      </c>
      <c r="E18" s="76">
        <v>175417.73</v>
      </c>
      <c r="F18" s="76">
        <f>D18</f>
        <v>173921.6</v>
      </c>
      <c r="G18" s="77">
        <f aca="true" t="shared" si="0" ref="G18:G26">D18-E18</f>
        <v>-1496.1300000000047</v>
      </c>
      <c r="H18" s="166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60907.766801619444</v>
      </c>
      <c r="E19" s="83">
        <f>E18*I19</f>
        <v>61431.71516194333</v>
      </c>
      <c r="F19" s="83">
        <f>D19</f>
        <v>60907.766801619444</v>
      </c>
      <c r="G19" s="84">
        <f t="shared" si="0"/>
        <v>-523.9483603238841</v>
      </c>
      <c r="H19" s="145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29749.747368421053</v>
      </c>
      <c r="E20" s="83">
        <f>E18*I20</f>
        <v>30005.664342105265</v>
      </c>
      <c r="F20" s="83">
        <f>D20</f>
        <v>29749.747368421053</v>
      </c>
      <c r="G20" s="84">
        <f t="shared" si="0"/>
        <v>-255.91697368421228</v>
      </c>
      <c r="H20" s="145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29749.747368421053</v>
      </c>
      <c r="E21" s="83">
        <f>E18*I21</f>
        <v>30005.664342105265</v>
      </c>
      <c r="F21" s="83">
        <f>D21</f>
        <v>29749.747368421053</v>
      </c>
      <c r="G21" s="84">
        <f t="shared" si="0"/>
        <v>-255.91697368421228</v>
      </c>
      <c r="H21" s="145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53514.338461538464</v>
      </c>
      <c r="E22" s="83">
        <f>E18*I22</f>
        <v>53974.68615384616</v>
      </c>
      <c r="F22" s="83">
        <f>D22</f>
        <v>53514.338461538464</v>
      </c>
      <c r="G22" s="84">
        <f t="shared" si="0"/>
        <v>-460.347692307696</v>
      </c>
      <c r="H22" s="145">
        <f>C22</f>
        <v>3.04</v>
      </c>
      <c r="I22" s="67">
        <f>H22/H18</f>
        <v>0.3076923076923077</v>
      </c>
    </row>
    <row r="23" spans="1:9" s="39" customFormat="1" ht="14.25">
      <c r="A23" s="41" t="s">
        <v>25</v>
      </c>
      <c r="B23" s="86" t="s">
        <v>462</v>
      </c>
      <c r="C23" s="97">
        <v>130</v>
      </c>
      <c r="D23" s="77">
        <v>37440</v>
      </c>
      <c r="E23" s="77">
        <v>37168.83</v>
      </c>
      <c r="F23" s="76">
        <f aca="true" t="shared" si="1" ref="F23:F32">D23</f>
        <v>37440</v>
      </c>
      <c r="G23" s="77">
        <f t="shared" si="0"/>
        <v>271.16999999999825</v>
      </c>
      <c r="H23" s="39">
        <f>32*130</f>
        <v>4160</v>
      </c>
      <c r="I23" s="39">
        <f>D23/H23</f>
        <v>9</v>
      </c>
    </row>
    <row r="24" spans="1:7" s="39" customFormat="1" ht="14.25">
      <c r="A24" s="41" t="s">
        <v>27</v>
      </c>
      <c r="B24" s="140" t="s">
        <v>28</v>
      </c>
      <c r="C24" s="97">
        <v>0</v>
      </c>
      <c r="D24" s="77">
        <v>0</v>
      </c>
      <c r="E24" s="77">
        <v>0</v>
      </c>
      <c r="F24" s="76">
        <f>D24</f>
        <v>0</v>
      </c>
      <c r="G24" s="77">
        <f t="shared" si="0"/>
        <v>0</v>
      </c>
    </row>
    <row r="25" spans="1:7" s="39" customFormat="1" ht="14.25">
      <c r="A25" s="41" t="s">
        <v>29</v>
      </c>
      <c r="B25" s="140" t="s">
        <v>161</v>
      </c>
      <c r="C25" s="141" t="s">
        <v>296</v>
      </c>
      <c r="D25" s="77">
        <v>0</v>
      </c>
      <c r="E25" s="77">
        <v>0</v>
      </c>
      <c r="F25" s="76">
        <f t="shared" si="1"/>
        <v>0</v>
      </c>
      <c r="G25" s="77">
        <f t="shared" si="0"/>
        <v>0</v>
      </c>
    </row>
    <row r="26" spans="1:7" s="39" customFormat="1" ht="14.25">
      <c r="A26" s="41" t="s">
        <v>31</v>
      </c>
      <c r="B26" s="140" t="s">
        <v>116</v>
      </c>
      <c r="C26" s="97">
        <v>1.86</v>
      </c>
      <c r="D26" s="77">
        <v>28643.28</v>
      </c>
      <c r="E26" s="77">
        <v>28877.07</v>
      </c>
      <c r="F26" s="76">
        <f>F42</f>
        <v>50678.7707</v>
      </c>
      <c r="G26" s="77">
        <f t="shared" si="0"/>
        <v>-233.79000000000087</v>
      </c>
    </row>
    <row r="27" spans="1:7" s="39" customFormat="1" ht="14.25">
      <c r="A27" s="41" t="s">
        <v>33</v>
      </c>
      <c r="B27" s="134" t="s">
        <v>34</v>
      </c>
      <c r="C27" s="46">
        <v>0</v>
      </c>
      <c r="D27" s="77">
        <v>0</v>
      </c>
      <c r="E27" s="77">
        <v>1.63</v>
      </c>
      <c r="F27" s="76">
        <f>D27</f>
        <v>0</v>
      </c>
      <c r="G27" s="77">
        <f>E27-D27</f>
        <v>1.63</v>
      </c>
    </row>
    <row r="28" spans="1:7" s="39" customFormat="1" ht="14.25">
      <c r="A28" s="41" t="s">
        <v>35</v>
      </c>
      <c r="B28" s="134" t="s">
        <v>36</v>
      </c>
      <c r="C28" s="97"/>
      <c r="D28" s="77">
        <f>SUM(D29:D32)</f>
        <v>694914.19</v>
      </c>
      <c r="E28" s="77">
        <f>SUM(E29:E32)</f>
        <v>714879.86</v>
      </c>
      <c r="F28" s="76">
        <f t="shared" si="1"/>
        <v>694914.19</v>
      </c>
      <c r="G28" s="77">
        <f>SUM(G29:G32)</f>
        <v>-19965.67000000002</v>
      </c>
    </row>
    <row r="29" spans="1:7" ht="15">
      <c r="A29" s="34" t="s">
        <v>37</v>
      </c>
      <c r="B29" s="34" t="s">
        <v>165</v>
      </c>
      <c r="C29" s="285">
        <v>6</v>
      </c>
      <c r="D29" s="84">
        <v>7986.6</v>
      </c>
      <c r="E29" s="84">
        <v>8051.75</v>
      </c>
      <c r="F29" s="83">
        <f>D29</f>
        <v>7986.6</v>
      </c>
      <c r="G29" s="84">
        <f>D29-E29</f>
        <v>-65.14999999999964</v>
      </c>
    </row>
    <row r="30" spans="1:7" ht="15">
      <c r="A30" s="34" t="s">
        <v>39</v>
      </c>
      <c r="B30" s="34" t="s">
        <v>137</v>
      </c>
      <c r="C30" s="285">
        <v>57.08</v>
      </c>
      <c r="D30" s="84">
        <v>162632.36</v>
      </c>
      <c r="E30" s="84">
        <v>171812.13</v>
      </c>
      <c r="F30" s="83">
        <f t="shared" si="1"/>
        <v>162632.36</v>
      </c>
      <c r="G30" s="84">
        <f>D30-E30</f>
        <v>-9179.770000000019</v>
      </c>
    </row>
    <row r="31" spans="1:7" ht="15">
      <c r="A31" s="34" t="s">
        <v>42</v>
      </c>
      <c r="B31" s="34" t="s">
        <v>40</v>
      </c>
      <c r="C31" s="286">
        <v>0</v>
      </c>
      <c r="D31" s="84">
        <v>0</v>
      </c>
      <c r="E31" s="84">
        <v>0</v>
      </c>
      <c r="F31" s="83">
        <f t="shared" si="1"/>
        <v>0</v>
      </c>
      <c r="G31" s="84">
        <f>D31-E31</f>
        <v>0</v>
      </c>
    </row>
    <row r="32" spans="1:7" ht="15">
      <c r="A32" s="34" t="s">
        <v>41</v>
      </c>
      <c r="B32" s="34" t="s">
        <v>43</v>
      </c>
      <c r="C32" s="285">
        <v>2638.8</v>
      </c>
      <c r="D32" s="84">
        <v>524295.23</v>
      </c>
      <c r="E32" s="84">
        <v>535015.98</v>
      </c>
      <c r="F32" s="83">
        <f t="shared" si="1"/>
        <v>524295.23</v>
      </c>
      <c r="G32" s="84">
        <f>D32-E32</f>
        <v>-10720.75</v>
      </c>
    </row>
    <row r="33" spans="1:10" s="102" customFormat="1" ht="18" customHeight="1" thickBot="1">
      <c r="A33" s="446" t="s">
        <v>294</v>
      </c>
      <c r="B33" s="447"/>
      <c r="C33" s="447"/>
      <c r="D33" s="448"/>
      <c r="E33" s="448"/>
      <c r="F33" s="448"/>
      <c r="G33" s="101"/>
      <c r="H33" s="101"/>
      <c r="I33" s="101"/>
      <c r="J33" s="101"/>
    </row>
    <row r="34" spans="1:9" s="67" customFormat="1" ht="15.75" thickBot="1">
      <c r="A34" s="455" t="s">
        <v>413</v>
      </c>
      <c r="B34" s="456"/>
      <c r="C34" s="456"/>
      <c r="D34" s="144">
        <v>167273.34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414</v>
      </c>
      <c r="B36" s="64"/>
      <c r="C36" s="64"/>
      <c r="D36" s="69"/>
      <c r="E36" s="70"/>
      <c r="F36" s="70"/>
      <c r="G36" s="144">
        <f>G14+E27-F27</f>
        <v>15591.439999999997</v>
      </c>
      <c r="H36" s="62"/>
      <c r="I36" s="62"/>
    </row>
    <row r="37" spans="1:13" s="67" customFormat="1" ht="15.75" thickBot="1">
      <c r="A37" s="63" t="s">
        <v>415</v>
      </c>
      <c r="B37" s="64"/>
      <c r="C37" s="64"/>
      <c r="D37" s="69"/>
      <c r="E37" s="70"/>
      <c r="F37" s="70"/>
      <c r="G37" s="144">
        <f>G15+E26-F26</f>
        <v>89677.40670000002</v>
      </c>
      <c r="H37" s="62"/>
      <c r="I37" s="62"/>
      <c r="M37" s="145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ht="26.25" customHeight="1">
      <c r="A39" s="444" t="s">
        <v>44</v>
      </c>
      <c r="B39" s="444"/>
      <c r="C39" s="444"/>
      <c r="D39" s="444"/>
      <c r="E39" s="444"/>
      <c r="F39" s="444"/>
      <c r="G39" s="444"/>
      <c r="H39" s="444"/>
      <c r="I39" s="444"/>
    </row>
    <row r="40" ht="6" customHeight="1"/>
    <row r="41" spans="1:7" s="171" customFormat="1" ht="28.5" customHeight="1">
      <c r="A41" s="105" t="s">
        <v>11</v>
      </c>
      <c r="B41" s="471" t="s">
        <v>45</v>
      </c>
      <c r="C41" s="484"/>
      <c r="D41" s="105" t="s">
        <v>163</v>
      </c>
      <c r="E41" s="105" t="s">
        <v>162</v>
      </c>
      <c r="F41" s="471" t="s">
        <v>46</v>
      </c>
      <c r="G41" s="483"/>
    </row>
    <row r="42" spans="1:7" s="114" customFormat="1" ht="12.75" customHeight="1">
      <c r="A42" s="109" t="s">
        <v>47</v>
      </c>
      <c r="B42" s="473" t="s">
        <v>111</v>
      </c>
      <c r="C42" s="491"/>
      <c r="D42" s="110"/>
      <c r="E42" s="110"/>
      <c r="F42" s="496">
        <f>SUM(F43:G46)</f>
        <v>50678.7707</v>
      </c>
      <c r="G42" s="483"/>
    </row>
    <row r="43" spans="1:7" s="114" customFormat="1" ht="12.75" customHeight="1">
      <c r="A43" s="34" t="s">
        <v>16</v>
      </c>
      <c r="B43" s="382" t="s">
        <v>566</v>
      </c>
      <c r="C43" s="426"/>
      <c r="D43" s="404" t="s">
        <v>164</v>
      </c>
      <c r="E43" s="404">
        <v>1</v>
      </c>
      <c r="F43" s="497">
        <v>37020</v>
      </c>
      <c r="G43" s="497"/>
    </row>
    <row r="44" spans="1:7" s="114" customFormat="1" ht="12.75" customHeight="1">
      <c r="A44" s="34" t="s">
        <v>18</v>
      </c>
      <c r="B44" s="382" t="s">
        <v>567</v>
      </c>
      <c r="C44" s="426"/>
      <c r="D44" s="404" t="s">
        <v>164</v>
      </c>
      <c r="E44" s="404">
        <v>1</v>
      </c>
      <c r="F44" s="497">
        <v>4970</v>
      </c>
      <c r="G44" s="497"/>
    </row>
    <row r="45" spans="1:7" s="114" customFormat="1" ht="12.75" customHeight="1">
      <c r="A45" s="34" t="s">
        <v>20</v>
      </c>
      <c r="B45" s="650" t="s">
        <v>814</v>
      </c>
      <c r="C45" s="426"/>
      <c r="D45" s="194" t="s">
        <v>391</v>
      </c>
      <c r="E45" s="194">
        <v>3</v>
      </c>
      <c r="F45" s="495">
        <v>8400</v>
      </c>
      <c r="G45" s="495"/>
    </row>
    <row r="46" spans="1:7" ht="12.75" customHeight="1">
      <c r="A46" s="34" t="s">
        <v>22</v>
      </c>
      <c r="B46" s="449" t="s">
        <v>188</v>
      </c>
      <c r="C46" s="451"/>
      <c r="D46" s="118"/>
      <c r="E46" s="118"/>
      <c r="F46" s="495">
        <f>E26*1%</f>
        <v>288.7707</v>
      </c>
      <c r="G46" s="495"/>
    </row>
    <row r="47" spans="1:7" s="67" customFormat="1" ht="13.5" customHeight="1">
      <c r="A47" s="168"/>
      <c r="B47" s="179"/>
      <c r="C47" s="179"/>
      <c r="D47" s="179"/>
      <c r="E47" s="179"/>
      <c r="F47" s="180"/>
      <c r="G47" s="180"/>
    </row>
    <row r="48" spans="1:6" s="67" customFormat="1" ht="15">
      <c r="A48" s="67" t="s">
        <v>55</v>
      </c>
      <c r="C48" s="67" t="s">
        <v>49</v>
      </c>
      <c r="F48" s="67" t="s">
        <v>90</v>
      </c>
    </row>
    <row r="49" s="67" customFormat="1" ht="15">
      <c r="F49" s="126" t="s">
        <v>545</v>
      </c>
    </row>
    <row r="50" s="67" customFormat="1" ht="15">
      <c r="A50" s="67" t="s">
        <v>50</v>
      </c>
    </row>
    <row r="51" spans="1:7" ht="15">
      <c r="A51" s="67"/>
      <c r="B51" s="67"/>
      <c r="C51" s="128" t="s">
        <v>51</v>
      </c>
      <c r="D51" s="67"/>
      <c r="E51" s="128"/>
      <c r="F51" s="128"/>
      <c r="G51" s="128"/>
    </row>
    <row r="52" spans="1:7" ht="15">
      <c r="A52" s="67"/>
      <c r="B52" s="67"/>
      <c r="C52" s="67"/>
      <c r="D52" s="67"/>
      <c r="E52" s="67"/>
      <c r="F52" s="67"/>
      <c r="G52" s="67"/>
    </row>
    <row r="53" spans="1:7" ht="15">
      <c r="A53" s="67"/>
      <c r="B53" s="67"/>
      <c r="C53" s="67"/>
      <c r="D53" s="67"/>
      <c r="E53" s="67"/>
      <c r="F53" s="67"/>
      <c r="G53" s="67"/>
    </row>
  </sheetData>
  <sheetProtection/>
  <mergeCells count="19">
    <mergeCell ref="F45:G45"/>
    <mergeCell ref="B41:C41"/>
    <mergeCell ref="B42:C42"/>
    <mergeCell ref="A11:I11"/>
    <mergeCell ref="A12:I12"/>
    <mergeCell ref="A39:I39"/>
    <mergeCell ref="A34:C34"/>
    <mergeCell ref="F41:G41"/>
    <mergeCell ref="A33:F33"/>
    <mergeCell ref="F43:G43"/>
    <mergeCell ref="F46:G46"/>
    <mergeCell ref="B46:C46"/>
    <mergeCell ref="A1:I1"/>
    <mergeCell ref="A2:I2"/>
    <mergeCell ref="A5:I5"/>
    <mergeCell ref="A10:I10"/>
    <mergeCell ref="A3:K3"/>
    <mergeCell ref="F44:G44"/>
    <mergeCell ref="F42:G4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52"/>
  <sheetViews>
    <sheetView zoomScalePageLayoutView="0" workbookViewId="0" topLeftCell="A37">
      <selection activeCell="A38" sqref="A38:I38"/>
    </sheetView>
  </sheetViews>
  <sheetFormatPr defaultColWidth="9.140625" defaultRowHeight="15" outlineLevelCol="1"/>
  <cols>
    <col min="1" max="1" width="4.7109375" style="35" customWidth="1"/>
    <col min="2" max="2" width="40.28125" style="35" customWidth="1"/>
    <col min="3" max="3" width="13.00390625" style="35" customWidth="1"/>
    <col min="4" max="4" width="13.421875" style="35" customWidth="1"/>
    <col min="5" max="5" width="12.7109375" style="35" customWidth="1"/>
    <col min="6" max="6" width="12.42187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2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6.7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2.7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7.5" customHeight="1"/>
    <row r="7" spans="1:6" s="67" customFormat="1" ht="16.5" customHeight="1">
      <c r="A7" s="67" t="s">
        <v>2</v>
      </c>
      <c r="F7" s="126" t="s">
        <v>68</v>
      </c>
    </row>
    <row r="8" spans="1:10" s="67" customFormat="1" ht="15">
      <c r="A8" s="67" t="s">
        <v>3</v>
      </c>
      <c r="F8" s="291" t="s">
        <v>346</v>
      </c>
      <c r="I8" s="199">
        <v>42.3</v>
      </c>
      <c r="J8" s="199">
        <v>1698.3</v>
      </c>
    </row>
    <row r="9" spans="2:6" s="67" customFormat="1" ht="15.75" customHeight="1">
      <c r="B9" s="67" t="s">
        <v>507</v>
      </c>
      <c r="F9" s="291" t="s">
        <v>505</v>
      </c>
    </row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'[2]Чичерина 8'!$G$36</f>
        <v>-64908.700000000004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'[2]Чичерина 8'!$G$37</f>
        <v>-22568.35089999999</v>
      </c>
      <c r="H15" s="62"/>
      <c r="I15" s="62"/>
    </row>
    <row r="16" s="67" customFormat="1" ht="9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167" customFormat="1" ht="29.25">
      <c r="A18" s="75" t="s">
        <v>14</v>
      </c>
      <c r="B18" s="41" t="s">
        <v>15</v>
      </c>
      <c r="C18" s="135">
        <f>C19+C20+C21+C22</f>
        <v>9.879999999999999</v>
      </c>
      <c r="D18" s="76">
        <v>231189.53</v>
      </c>
      <c r="E18" s="76">
        <v>253580.11</v>
      </c>
      <c r="F18" s="76">
        <f>D18</f>
        <v>231189.53</v>
      </c>
      <c r="G18" s="77">
        <f>D18-E18</f>
        <v>-22390.579999999987</v>
      </c>
      <c r="H18" s="145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80963.13500000001</v>
      </c>
      <c r="E19" s="83">
        <f>E18*I19</f>
        <v>88804.37050607288</v>
      </c>
      <c r="F19" s="83">
        <f>D19</f>
        <v>80963.13500000001</v>
      </c>
      <c r="G19" s="84">
        <f>D19-E19</f>
        <v>-7841.235506072873</v>
      </c>
      <c r="H19" s="145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39545.5775</v>
      </c>
      <c r="E20" s="83">
        <f>E18*I20</f>
        <v>43375.54513157895</v>
      </c>
      <c r="F20" s="83">
        <f>D20</f>
        <v>39545.5775</v>
      </c>
      <c r="G20" s="84">
        <f>D20-E20</f>
        <v>-3829.9676315789475</v>
      </c>
      <c r="H20" s="145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39545.5775</v>
      </c>
      <c r="E21" s="83">
        <f>E18*I21</f>
        <v>43375.54513157895</v>
      </c>
      <c r="F21" s="83">
        <f>D21</f>
        <v>39545.5775</v>
      </c>
      <c r="G21" s="84">
        <f>D21-E21</f>
        <v>-3829.9676315789475</v>
      </c>
      <c r="H21" s="145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71135.24</v>
      </c>
      <c r="E22" s="83">
        <f>E18*I22</f>
        <v>78024.64923076922</v>
      </c>
      <c r="F22" s="83">
        <f>D22</f>
        <v>71135.24</v>
      </c>
      <c r="G22" s="84">
        <f>D22-E22</f>
        <v>-6889.409230769219</v>
      </c>
      <c r="H22" s="145">
        <f>C22</f>
        <v>3.04</v>
      </c>
      <c r="I22" s="67">
        <f>H22/H18</f>
        <v>0.3076923076923077</v>
      </c>
    </row>
    <row r="23" spans="1:9" s="39" customFormat="1" ht="25.5">
      <c r="A23" s="41" t="s">
        <v>25</v>
      </c>
      <c r="B23" s="86" t="s">
        <v>462</v>
      </c>
      <c r="C23" s="97" t="s">
        <v>425</v>
      </c>
      <c r="D23" s="77">
        <v>39360</v>
      </c>
      <c r="E23" s="77">
        <v>39611.17</v>
      </c>
      <c r="F23" s="76">
        <f aca="true" t="shared" si="0" ref="F23:F32">D23</f>
        <v>39360</v>
      </c>
      <c r="G23" s="77">
        <f aca="true" t="shared" si="1" ref="G23:G32">D23-E23</f>
        <v>-251.16999999999825</v>
      </c>
      <c r="H23" s="39">
        <f>34*130</f>
        <v>4420</v>
      </c>
      <c r="I23" s="356">
        <f>D23/H23</f>
        <v>8.904977375565611</v>
      </c>
    </row>
    <row r="24" spans="1:7" s="39" customFormat="1" ht="14.25">
      <c r="A24" s="41" t="s">
        <v>27</v>
      </c>
      <c r="B24" s="140" t="s">
        <v>28</v>
      </c>
      <c r="C24" s="97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s="39" customFormat="1" ht="14.25">
      <c r="A25" s="41" t="s">
        <v>29</v>
      </c>
      <c r="B25" s="140" t="s">
        <v>161</v>
      </c>
      <c r="C25" s="141">
        <v>1902.11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7" s="39" customFormat="1" ht="14.25">
      <c r="A26" s="41" t="s">
        <v>31</v>
      </c>
      <c r="B26" s="140" t="s">
        <v>116</v>
      </c>
      <c r="C26" s="97">
        <v>1.86</v>
      </c>
      <c r="D26" s="77">
        <v>38850.12</v>
      </c>
      <c r="E26" s="77">
        <v>42008.74</v>
      </c>
      <c r="F26" s="76">
        <f>F41</f>
        <v>75535.8374</v>
      </c>
      <c r="G26" s="77">
        <f t="shared" si="1"/>
        <v>-3158.6199999999953</v>
      </c>
    </row>
    <row r="27" spans="1:7" s="39" customFormat="1" ht="14.25">
      <c r="A27" s="41" t="s">
        <v>33</v>
      </c>
      <c r="B27" s="134" t="s">
        <v>34</v>
      </c>
      <c r="C27" s="46">
        <v>0</v>
      </c>
      <c r="D27" s="77">
        <v>0</v>
      </c>
      <c r="E27" s="77"/>
      <c r="F27" s="76">
        <f>D27</f>
        <v>0</v>
      </c>
      <c r="G27" s="77">
        <f t="shared" si="1"/>
        <v>0</v>
      </c>
    </row>
    <row r="28" spans="1:7" s="39" customFormat="1" ht="14.25">
      <c r="A28" s="41" t="s">
        <v>35</v>
      </c>
      <c r="B28" s="134" t="s">
        <v>36</v>
      </c>
      <c r="C28" s="97"/>
      <c r="D28" s="77">
        <f>SUM(D29:D32)</f>
        <v>798842.33</v>
      </c>
      <c r="E28" s="77">
        <f>SUM(E29:E32)</f>
        <v>854445.3</v>
      </c>
      <c r="F28" s="76">
        <f t="shared" si="0"/>
        <v>798842.33</v>
      </c>
      <c r="G28" s="77">
        <f t="shared" si="1"/>
        <v>-55602.97000000009</v>
      </c>
    </row>
    <row r="29" spans="1:7" ht="15">
      <c r="A29" s="34" t="s">
        <v>37</v>
      </c>
      <c r="B29" s="34" t="s">
        <v>165</v>
      </c>
      <c r="C29" s="285">
        <v>6</v>
      </c>
      <c r="D29" s="84">
        <v>21404.04</v>
      </c>
      <c r="E29" s="84">
        <v>23604.97</v>
      </c>
      <c r="F29" s="83">
        <f>D29</f>
        <v>21404.04</v>
      </c>
      <c r="G29" s="84">
        <f t="shared" si="1"/>
        <v>-2200.9300000000003</v>
      </c>
    </row>
    <row r="30" spans="1:7" ht="15">
      <c r="A30" s="34" t="s">
        <v>39</v>
      </c>
      <c r="B30" s="34" t="s">
        <v>137</v>
      </c>
      <c r="C30" s="285">
        <v>57.08</v>
      </c>
      <c r="D30" s="84">
        <v>246741.35</v>
      </c>
      <c r="E30" s="84">
        <v>273627.45</v>
      </c>
      <c r="F30" s="83">
        <f t="shared" si="0"/>
        <v>246741.35</v>
      </c>
      <c r="G30" s="84">
        <f t="shared" si="1"/>
        <v>-26886.100000000006</v>
      </c>
    </row>
    <row r="31" spans="1:7" ht="15">
      <c r="A31" s="34" t="s">
        <v>42</v>
      </c>
      <c r="B31" s="34" t="s">
        <v>40</v>
      </c>
      <c r="C31" s="286">
        <v>0</v>
      </c>
      <c r="D31" s="84">
        <v>0</v>
      </c>
      <c r="E31" s="84">
        <v>0</v>
      </c>
      <c r="F31" s="83">
        <f t="shared" si="0"/>
        <v>0</v>
      </c>
      <c r="G31" s="84">
        <f t="shared" si="1"/>
        <v>0</v>
      </c>
    </row>
    <row r="32" spans="1:7" ht="15">
      <c r="A32" s="34" t="s">
        <v>41</v>
      </c>
      <c r="B32" s="34" t="s">
        <v>43</v>
      </c>
      <c r="C32" s="285">
        <v>2638.8</v>
      </c>
      <c r="D32" s="84">
        <v>530696.94</v>
      </c>
      <c r="E32" s="84">
        <v>557212.88</v>
      </c>
      <c r="F32" s="83">
        <f t="shared" si="0"/>
        <v>530696.94</v>
      </c>
      <c r="G32" s="84">
        <f t="shared" si="1"/>
        <v>-26515.94000000006</v>
      </c>
    </row>
    <row r="33" spans="1:10" s="102" customFormat="1" ht="28.5" customHeight="1" thickBot="1">
      <c r="A33" s="446" t="s">
        <v>294</v>
      </c>
      <c r="B33" s="447"/>
      <c r="C33" s="447"/>
      <c r="D33" s="448"/>
      <c r="E33" s="448"/>
      <c r="F33" s="448"/>
      <c r="G33" s="101"/>
      <c r="H33" s="101"/>
      <c r="I33" s="101"/>
      <c r="J33" s="101"/>
    </row>
    <row r="34" spans="1:9" s="67" customFormat="1" ht="15.75" thickBot="1">
      <c r="A34" s="455" t="s">
        <v>413</v>
      </c>
      <c r="B34" s="456"/>
      <c r="C34" s="456"/>
      <c r="D34" s="65">
        <v>281419.48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414</v>
      </c>
      <c r="B36" s="64"/>
      <c r="C36" s="64"/>
      <c r="D36" s="69"/>
      <c r="E36" s="70"/>
      <c r="F36" s="70"/>
      <c r="G36" s="144">
        <f>G14+E27-F27</f>
        <v>-64908.700000000004</v>
      </c>
      <c r="H36" s="62"/>
      <c r="I36" s="62"/>
    </row>
    <row r="37" spans="1:9" s="67" customFormat="1" ht="15.75" thickBot="1">
      <c r="A37" s="63" t="s">
        <v>415</v>
      </c>
      <c r="B37" s="64"/>
      <c r="C37" s="64"/>
      <c r="D37" s="69"/>
      <c r="E37" s="70"/>
      <c r="F37" s="70"/>
      <c r="G37" s="144">
        <f>G15+E26-F26</f>
        <v>-56095.4483</v>
      </c>
      <c r="H37" s="62"/>
      <c r="I37" s="62"/>
    </row>
    <row r="38" spans="1:9" ht="25.5" customHeight="1">
      <c r="A38" s="444" t="s">
        <v>44</v>
      </c>
      <c r="B38" s="444"/>
      <c r="C38" s="444"/>
      <c r="D38" s="444"/>
      <c r="E38" s="444"/>
      <c r="F38" s="444"/>
      <c r="G38" s="444"/>
      <c r="H38" s="444"/>
      <c r="I38" s="444"/>
    </row>
    <row r="39" ht="5.25" customHeight="1"/>
    <row r="40" spans="1:7" s="171" customFormat="1" ht="28.5" customHeight="1">
      <c r="A40" s="105" t="s">
        <v>11</v>
      </c>
      <c r="B40" s="471" t="s">
        <v>45</v>
      </c>
      <c r="C40" s="484"/>
      <c r="D40" s="105" t="s">
        <v>163</v>
      </c>
      <c r="E40" s="105" t="s">
        <v>162</v>
      </c>
      <c r="F40" s="471" t="s">
        <v>46</v>
      </c>
      <c r="G40" s="483"/>
    </row>
    <row r="41" spans="1:7" s="114" customFormat="1" ht="12" customHeight="1">
      <c r="A41" s="109" t="s">
        <v>47</v>
      </c>
      <c r="B41" s="473" t="s">
        <v>111</v>
      </c>
      <c r="C41" s="491"/>
      <c r="D41" s="110"/>
      <c r="E41" s="110"/>
      <c r="F41" s="496">
        <f>SUM(F42:G47)</f>
        <v>75535.8374</v>
      </c>
      <c r="G41" s="483"/>
    </row>
    <row r="42" spans="1:7" s="114" customFormat="1" ht="12" customHeight="1">
      <c r="A42" s="34" t="s">
        <v>16</v>
      </c>
      <c r="B42" s="462" t="s">
        <v>568</v>
      </c>
      <c r="C42" s="489"/>
      <c r="D42" s="404" t="s">
        <v>217</v>
      </c>
      <c r="E42" s="404">
        <v>0.06</v>
      </c>
      <c r="F42" s="533">
        <v>10715.75</v>
      </c>
      <c r="G42" s="534"/>
    </row>
    <row r="43" spans="1:7" s="114" customFormat="1" ht="12" customHeight="1">
      <c r="A43" s="34" t="s">
        <v>18</v>
      </c>
      <c r="B43" s="462" t="s">
        <v>168</v>
      </c>
      <c r="C43" s="489"/>
      <c r="D43" s="404"/>
      <c r="E43" s="404"/>
      <c r="F43" s="533">
        <v>56000</v>
      </c>
      <c r="G43" s="534"/>
    </row>
    <row r="44" spans="1:7" s="114" customFormat="1" ht="16.5" customHeight="1">
      <c r="A44" s="34" t="s">
        <v>20</v>
      </c>
      <c r="B44" s="449" t="s">
        <v>814</v>
      </c>
      <c r="C44" s="451"/>
      <c r="D44" s="194" t="s">
        <v>391</v>
      </c>
      <c r="E44" s="194">
        <v>3</v>
      </c>
      <c r="F44" s="531">
        <v>8400</v>
      </c>
      <c r="G44" s="532"/>
    </row>
    <row r="45" spans="1:7" s="114" customFormat="1" ht="12" customHeight="1">
      <c r="A45" s="34" t="s">
        <v>22</v>
      </c>
      <c r="B45" s="462"/>
      <c r="C45" s="489"/>
      <c r="D45" s="404"/>
      <c r="E45" s="404"/>
      <c r="F45" s="535"/>
      <c r="G45" s="536"/>
    </row>
    <row r="46" spans="1:7" s="114" customFormat="1" ht="12" customHeight="1">
      <c r="A46" s="34" t="s">
        <v>24</v>
      </c>
      <c r="B46" s="462"/>
      <c r="C46" s="489"/>
      <c r="D46" s="404"/>
      <c r="E46" s="404"/>
      <c r="F46" s="533"/>
      <c r="G46" s="534"/>
    </row>
    <row r="47" spans="1:7" ht="14.25" customHeight="1">
      <c r="A47" s="34" t="s">
        <v>103</v>
      </c>
      <c r="B47" s="449" t="s">
        <v>188</v>
      </c>
      <c r="C47" s="451"/>
      <c r="D47" s="118"/>
      <c r="E47" s="118"/>
      <c r="F47" s="531">
        <f>E26*1%</f>
        <v>420.0874</v>
      </c>
      <c r="G47" s="532"/>
    </row>
    <row r="48" spans="2:5" ht="15">
      <c r="B48" s="154"/>
      <c r="C48" s="154"/>
      <c r="D48" s="154"/>
      <c r="E48" s="154"/>
    </row>
    <row r="49" spans="1:6" s="67" customFormat="1" ht="15">
      <c r="A49" s="67" t="s">
        <v>55</v>
      </c>
      <c r="C49" s="67" t="s">
        <v>49</v>
      </c>
      <c r="F49" s="67" t="s">
        <v>90</v>
      </c>
    </row>
    <row r="50" s="67" customFormat="1" ht="13.5" customHeight="1">
      <c r="F50" s="126" t="s">
        <v>545</v>
      </c>
    </row>
    <row r="51" s="67" customFormat="1" ht="15">
      <c r="A51" s="67" t="s">
        <v>50</v>
      </c>
    </row>
    <row r="52" spans="3:7" s="67" customFormat="1" ht="15">
      <c r="C52" s="128" t="s">
        <v>51</v>
      </c>
      <c r="E52" s="128"/>
      <c r="F52" s="128"/>
      <c r="G52" s="128"/>
    </row>
    <row r="53" s="67" customFormat="1" ht="15"/>
    <row r="54" s="67" customFormat="1" ht="15"/>
  </sheetData>
  <sheetProtection/>
  <mergeCells count="26">
    <mergeCell ref="A12:I12"/>
    <mergeCell ref="F43:G43"/>
    <mergeCell ref="F44:G44"/>
    <mergeCell ref="F45:G45"/>
    <mergeCell ref="B43:C43"/>
    <mergeCell ref="B44:C44"/>
    <mergeCell ref="B45:C45"/>
    <mergeCell ref="F41:G41"/>
    <mergeCell ref="A33:F33"/>
    <mergeCell ref="F42:G42"/>
    <mergeCell ref="A1:I1"/>
    <mergeCell ref="A2:I2"/>
    <mergeCell ref="A5:I5"/>
    <mergeCell ref="A10:I10"/>
    <mergeCell ref="A3:K3"/>
    <mergeCell ref="A11:I11"/>
    <mergeCell ref="F47:G47"/>
    <mergeCell ref="B47:C47"/>
    <mergeCell ref="B40:C40"/>
    <mergeCell ref="B41:C41"/>
    <mergeCell ref="F40:G40"/>
    <mergeCell ref="A34:C34"/>
    <mergeCell ref="B42:C42"/>
    <mergeCell ref="A38:I38"/>
    <mergeCell ref="B46:C46"/>
    <mergeCell ref="F46:G46"/>
  </mergeCells>
  <printOptions/>
  <pageMargins left="0" right="0" top="0" bottom="0" header="0.31496062992125984" footer="0.31496062992125984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M54"/>
  <sheetViews>
    <sheetView zoomScalePageLayoutView="0" workbookViewId="0" topLeftCell="A36">
      <selection activeCell="F46" sqref="F46:G46"/>
    </sheetView>
  </sheetViews>
  <sheetFormatPr defaultColWidth="9.140625" defaultRowHeight="15" outlineLevelCol="1"/>
  <cols>
    <col min="1" max="1" width="4.7109375" style="35" customWidth="1"/>
    <col min="2" max="2" width="40.57421875" style="35" customWidth="1"/>
    <col min="3" max="3" width="13.28125" style="35" customWidth="1"/>
    <col min="4" max="5" width="13.140625" style="35" bestFit="1" customWidth="1"/>
    <col min="6" max="6" width="14.00390625" style="35" customWidth="1"/>
    <col min="7" max="7" width="13.57421875" style="35" customWidth="1"/>
    <col min="8" max="8" width="10.8515625" style="35" hidden="1" customWidth="1" outlineLevel="1"/>
    <col min="9" max="9" width="13.28125" style="35" hidden="1" customWidth="1" outlineLevel="1"/>
    <col min="10" max="12" width="9.140625" style="35" hidden="1" customWidth="1" outlineLevel="1"/>
    <col min="13" max="13" width="10.140625" style="35" bestFit="1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7.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6" customHeight="1"/>
    <row r="7" spans="1:6" s="67" customFormat="1" ht="16.5" customHeight="1">
      <c r="A7" s="67" t="s">
        <v>2</v>
      </c>
      <c r="F7" s="126" t="s">
        <v>125</v>
      </c>
    </row>
    <row r="8" spans="1:6" s="67" customFormat="1" ht="15">
      <c r="A8" s="67" t="s">
        <v>3</v>
      </c>
      <c r="F8" s="291" t="s">
        <v>298</v>
      </c>
    </row>
    <row r="9" s="67" customFormat="1" ht="6" customHeight="1"/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'[2]Чичерина 16 к. 1'!$G$36</f>
        <v>-5989.219999999999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'[2]Чичерина 16 к. 1'!$G$37</f>
        <v>-337566.5796</v>
      </c>
      <c r="H15" s="62"/>
      <c r="I15" s="62"/>
    </row>
    <row r="16" s="67" customFormat="1" ht="8.2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167" customFormat="1" ht="28.5">
      <c r="A18" s="75" t="s">
        <v>14</v>
      </c>
      <c r="B18" s="41" t="s">
        <v>15</v>
      </c>
      <c r="C18" s="135">
        <f>C19+C20+C21+C22</f>
        <v>9.879999999999999</v>
      </c>
      <c r="D18" s="76">
        <v>441037.91</v>
      </c>
      <c r="E18" s="76">
        <v>436663.52</v>
      </c>
      <c r="F18" s="76">
        <f>D18</f>
        <v>441037.91</v>
      </c>
      <c r="G18" s="77">
        <f>D18-E18</f>
        <v>4374.389999999956</v>
      </c>
      <c r="H18" s="166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154452.5474291498</v>
      </c>
      <c r="E19" s="83">
        <f>E18*I19</f>
        <v>152920.62542510123</v>
      </c>
      <c r="F19" s="83">
        <f>D19</f>
        <v>154452.5474291498</v>
      </c>
      <c r="G19" s="84">
        <f>D19-E19</f>
        <v>1531.922004048567</v>
      </c>
      <c r="H19" s="145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75440.69513157895</v>
      </c>
      <c r="E20" s="83">
        <f>E18*I20</f>
        <v>74692.44421052632</v>
      </c>
      <c r="F20" s="83">
        <f>D20</f>
        <v>75440.69513157895</v>
      </c>
      <c r="G20" s="84">
        <f>D20-E20</f>
        <v>748.2509210526332</v>
      </c>
      <c r="H20" s="145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75440.69513157895</v>
      </c>
      <c r="E21" s="83">
        <f>E18*I21</f>
        <v>74692.44421052632</v>
      </c>
      <c r="F21" s="83">
        <f>D21</f>
        <v>75440.69513157895</v>
      </c>
      <c r="G21" s="84">
        <f>D21-E21</f>
        <v>748.2509210526332</v>
      </c>
      <c r="H21" s="145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135703.9723076923</v>
      </c>
      <c r="E22" s="83">
        <f>E18*I22</f>
        <v>134358.00615384616</v>
      </c>
      <c r="F22" s="83">
        <f>D22</f>
        <v>135703.9723076923</v>
      </c>
      <c r="G22" s="84">
        <f>D22-E22</f>
        <v>1345.9661538461514</v>
      </c>
      <c r="H22" s="145">
        <f>C22</f>
        <v>3.04</v>
      </c>
      <c r="I22" s="67">
        <f>H22/H18</f>
        <v>0.3076923076923077</v>
      </c>
    </row>
    <row r="23" spans="1:9" s="39" customFormat="1" ht="25.5">
      <c r="A23" s="41" t="s">
        <v>25</v>
      </c>
      <c r="B23" s="86" t="s">
        <v>462</v>
      </c>
      <c r="C23" s="97" t="s">
        <v>425</v>
      </c>
      <c r="D23" s="77">
        <v>81900</v>
      </c>
      <c r="E23" s="77">
        <v>78033.92</v>
      </c>
      <c r="F23" s="76">
        <f aca="true" t="shared" si="0" ref="F23:F32">D23</f>
        <v>81900</v>
      </c>
      <c r="G23" s="77">
        <f aca="true" t="shared" si="1" ref="G23:G32">D23-E23</f>
        <v>3866.0800000000017</v>
      </c>
      <c r="H23" s="39">
        <f>72*130</f>
        <v>9360</v>
      </c>
      <c r="I23" s="39">
        <f>D23/H23</f>
        <v>8.75</v>
      </c>
    </row>
    <row r="24" spans="1:7" s="39" customFormat="1" ht="14.25">
      <c r="A24" s="41" t="s">
        <v>27</v>
      </c>
      <c r="B24" s="140" t="s">
        <v>28</v>
      </c>
      <c r="C24" s="97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s="39" customFormat="1" ht="14.25">
      <c r="A25" s="41" t="s">
        <v>29</v>
      </c>
      <c r="B25" s="140" t="s">
        <v>161</v>
      </c>
      <c r="C25" s="141" t="s">
        <v>296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13" s="39" customFormat="1" ht="14.25">
      <c r="A26" s="41" t="s">
        <v>31</v>
      </c>
      <c r="B26" s="140" t="s">
        <v>116</v>
      </c>
      <c r="C26" s="97">
        <v>1.86</v>
      </c>
      <c r="D26" s="77">
        <v>76127.52</v>
      </c>
      <c r="E26" s="77">
        <v>74059.69</v>
      </c>
      <c r="F26" s="76">
        <f>F42</f>
        <v>122197.4069</v>
      </c>
      <c r="G26" s="77">
        <f t="shared" si="1"/>
        <v>2067.8300000000017</v>
      </c>
      <c r="M26" s="181"/>
    </row>
    <row r="27" spans="1:7" s="39" customFormat="1" ht="14.25">
      <c r="A27" s="41" t="s">
        <v>33</v>
      </c>
      <c r="B27" s="134" t="s">
        <v>34</v>
      </c>
      <c r="C27" s="46">
        <v>0</v>
      </c>
      <c r="D27" s="77">
        <v>0</v>
      </c>
      <c r="E27" s="77">
        <v>0</v>
      </c>
      <c r="F27" s="76">
        <f>D27</f>
        <v>0</v>
      </c>
      <c r="G27" s="77">
        <f t="shared" si="1"/>
        <v>0</v>
      </c>
    </row>
    <row r="28" spans="1:7" s="39" customFormat="1" ht="14.25">
      <c r="A28" s="41" t="s">
        <v>35</v>
      </c>
      <c r="B28" s="134" t="s">
        <v>36</v>
      </c>
      <c r="C28" s="97"/>
      <c r="D28" s="77">
        <f>SUM(D29:D32)</f>
        <v>1794504.3599999999</v>
      </c>
      <c r="E28" s="77">
        <f>SUM(E29:E32)</f>
        <v>1726222.8900000001</v>
      </c>
      <c r="F28" s="76">
        <f t="shared" si="0"/>
        <v>1794504.3599999999</v>
      </c>
      <c r="G28" s="77">
        <f t="shared" si="1"/>
        <v>68281.46999999974</v>
      </c>
    </row>
    <row r="29" spans="1:7" ht="15">
      <c r="A29" s="34" t="s">
        <v>37</v>
      </c>
      <c r="B29" s="34" t="s">
        <v>165</v>
      </c>
      <c r="C29" s="285">
        <v>6</v>
      </c>
      <c r="D29" s="84">
        <v>39692.12</v>
      </c>
      <c r="E29" s="84">
        <v>38629.55</v>
      </c>
      <c r="F29" s="83">
        <f>D29</f>
        <v>39692.12</v>
      </c>
      <c r="G29" s="84">
        <f t="shared" si="1"/>
        <v>1062.5699999999997</v>
      </c>
    </row>
    <row r="30" spans="1:7" ht="15">
      <c r="A30" s="34" t="s">
        <v>39</v>
      </c>
      <c r="B30" s="34" t="s">
        <v>137</v>
      </c>
      <c r="C30" s="285">
        <v>57.08</v>
      </c>
      <c r="D30" s="84">
        <v>573104.81</v>
      </c>
      <c r="E30" s="84">
        <v>540359.06</v>
      </c>
      <c r="F30" s="83">
        <f t="shared" si="0"/>
        <v>573104.81</v>
      </c>
      <c r="G30" s="84">
        <f t="shared" si="1"/>
        <v>32745.75</v>
      </c>
    </row>
    <row r="31" spans="1:7" ht="15">
      <c r="A31" s="34" t="s">
        <v>42</v>
      </c>
      <c r="B31" s="34" t="s">
        <v>40</v>
      </c>
      <c r="C31" s="286">
        <v>0</v>
      </c>
      <c r="D31" s="84">
        <v>0</v>
      </c>
      <c r="E31" s="84">
        <v>0</v>
      </c>
      <c r="F31" s="83">
        <f t="shared" si="0"/>
        <v>0</v>
      </c>
      <c r="G31" s="84">
        <f t="shared" si="1"/>
        <v>0</v>
      </c>
    </row>
    <row r="32" spans="1:7" ht="15">
      <c r="A32" s="34" t="s">
        <v>41</v>
      </c>
      <c r="B32" s="34" t="s">
        <v>43</v>
      </c>
      <c r="C32" s="285">
        <v>2638.8</v>
      </c>
      <c r="D32" s="84">
        <v>1181707.43</v>
      </c>
      <c r="E32" s="84">
        <v>1147234.28</v>
      </c>
      <c r="F32" s="83">
        <f t="shared" si="0"/>
        <v>1181707.43</v>
      </c>
      <c r="G32" s="84">
        <f t="shared" si="1"/>
        <v>34473.14999999991</v>
      </c>
    </row>
    <row r="33" spans="1:10" s="102" customFormat="1" ht="18.75" customHeight="1" thickBot="1">
      <c r="A33" s="446" t="s">
        <v>294</v>
      </c>
      <c r="B33" s="447"/>
      <c r="C33" s="447"/>
      <c r="D33" s="448"/>
      <c r="E33" s="448"/>
      <c r="F33" s="448"/>
      <c r="G33" s="101"/>
      <c r="H33" s="101"/>
      <c r="I33" s="101"/>
      <c r="J33" s="101"/>
    </row>
    <row r="34" spans="1:9" s="67" customFormat="1" ht="15.75" thickBot="1">
      <c r="A34" s="455" t="s">
        <v>413</v>
      </c>
      <c r="B34" s="456"/>
      <c r="C34" s="456"/>
      <c r="D34" s="65">
        <v>1179196.05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414</v>
      </c>
      <c r="B36" s="64"/>
      <c r="C36" s="64"/>
      <c r="D36" s="69"/>
      <c r="E36" s="70"/>
      <c r="F36" s="70"/>
      <c r="G36" s="144">
        <f>G14+E27-F27</f>
        <v>-5989.219999999999</v>
      </c>
      <c r="H36" s="62"/>
      <c r="I36" s="62"/>
    </row>
    <row r="37" spans="1:9" s="67" customFormat="1" ht="15.75" thickBot="1">
      <c r="A37" s="63" t="s">
        <v>415</v>
      </c>
      <c r="B37" s="64"/>
      <c r="C37" s="64"/>
      <c r="D37" s="69"/>
      <c r="E37" s="70"/>
      <c r="F37" s="70"/>
      <c r="G37" s="144">
        <f>G15+E26-F26</f>
        <v>-385704.2965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ht="28.5" customHeight="1">
      <c r="A39" s="537" t="s">
        <v>44</v>
      </c>
      <c r="B39" s="537"/>
      <c r="C39" s="537"/>
      <c r="D39" s="537"/>
      <c r="E39" s="537"/>
      <c r="F39" s="537"/>
      <c r="G39" s="537"/>
      <c r="H39" s="537"/>
      <c r="I39" s="537"/>
    </row>
    <row r="40" ht="5.25" customHeight="1"/>
    <row r="41" spans="1:7" s="171" customFormat="1" ht="28.5" customHeight="1">
      <c r="A41" s="105" t="s">
        <v>11</v>
      </c>
      <c r="B41" s="471" t="s">
        <v>45</v>
      </c>
      <c r="C41" s="484"/>
      <c r="D41" s="105" t="s">
        <v>163</v>
      </c>
      <c r="E41" s="105" t="s">
        <v>162</v>
      </c>
      <c r="F41" s="471" t="s">
        <v>46</v>
      </c>
      <c r="G41" s="484"/>
    </row>
    <row r="42" spans="1:7" s="114" customFormat="1" ht="12.75" customHeight="1">
      <c r="A42" s="109" t="s">
        <v>47</v>
      </c>
      <c r="B42" s="473" t="s">
        <v>111</v>
      </c>
      <c r="C42" s="491"/>
      <c r="D42" s="110"/>
      <c r="E42" s="110"/>
      <c r="F42" s="496">
        <f>SUM(F43:G48)</f>
        <v>122197.4069</v>
      </c>
      <c r="G42" s="483"/>
    </row>
    <row r="43" spans="1:7" ht="12.75" customHeight="1">
      <c r="A43" s="34" t="s">
        <v>16</v>
      </c>
      <c r="B43" s="462" t="s">
        <v>168</v>
      </c>
      <c r="C43" s="489"/>
      <c r="D43" s="337"/>
      <c r="E43" s="352"/>
      <c r="F43" s="525">
        <v>109156.81</v>
      </c>
      <c r="G43" s="526"/>
    </row>
    <row r="44" spans="1:7" ht="29.25" customHeight="1">
      <c r="A44" s="34" t="s">
        <v>18</v>
      </c>
      <c r="B44" s="462" t="s">
        <v>326</v>
      </c>
      <c r="C44" s="489"/>
      <c r="D44" s="337"/>
      <c r="E44" s="352" t="s">
        <v>221</v>
      </c>
      <c r="F44" s="525">
        <v>1100</v>
      </c>
      <c r="G44" s="526"/>
    </row>
    <row r="45" spans="1:7" ht="12.75" customHeight="1">
      <c r="A45" s="34" t="s">
        <v>20</v>
      </c>
      <c r="B45" s="449" t="s">
        <v>814</v>
      </c>
      <c r="C45" s="451"/>
      <c r="D45" s="118" t="s">
        <v>391</v>
      </c>
      <c r="E45" s="651">
        <v>4</v>
      </c>
      <c r="F45" s="521">
        <v>11200</v>
      </c>
      <c r="G45" s="522"/>
    </row>
    <row r="46" spans="1:7" ht="12.75" customHeight="1">
      <c r="A46" s="34" t="s">
        <v>22</v>
      </c>
      <c r="B46" s="462"/>
      <c r="C46" s="489"/>
      <c r="D46" s="337"/>
      <c r="E46" s="352"/>
      <c r="F46" s="525"/>
      <c r="G46" s="526"/>
    </row>
    <row r="47" spans="1:7" ht="12.75" customHeight="1">
      <c r="A47" s="34" t="s">
        <v>24</v>
      </c>
      <c r="B47" s="462"/>
      <c r="C47" s="489"/>
      <c r="D47" s="337"/>
      <c r="E47" s="341"/>
      <c r="F47" s="497"/>
      <c r="G47" s="497"/>
    </row>
    <row r="48" spans="1:7" ht="13.5" customHeight="1">
      <c r="A48" s="34" t="s">
        <v>103</v>
      </c>
      <c r="B48" s="511" t="s">
        <v>188</v>
      </c>
      <c r="C48" s="512"/>
      <c r="D48" s="124"/>
      <c r="E48" s="124"/>
      <c r="F48" s="521">
        <f>E26*1%</f>
        <v>740.5969</v>
      </c>
      <c r="G48" s="522"/>
    </row>
    <row r="49" spans="1:7" ht="13.5" customHeight="1">
      <c r="A49" s="168"/>
      <c r="B49" s="93"/>
      <c r="C49" s="93"/>
      <c r="D49" s="93"/>
      <c r="E49" s="93"/>
      <c r="F49" s="180"/>
      <c r="G49" s="180"/>
    </row>
    <row r="50" s="67" customFormat="1" ht="15"/>
    <row r="51" spans="1:6" s="67" customFormat="1" ht="15" customHeight="1">
      <c r="A51" s="67" t="s">
        <v>55</v>
      </c>
      <c r="C51" s="67" t="s">
        <v>49</v>
      </c>
      <c r="F51" s="67" t="s">
        <v>90</v>
      </c>
    </row>
    <row r="52" s="67" customFormat="1" ht="13.5" customHeight="1">
      <c r="F52" s="126" t="s">
        <v>545</v>
      </c>
    </row>
    <row r="53" s="67" customFormat="1" ht="15">
      <c r="A53" s="67" t="s">
        <v>50</v>
      </c>
    </row>
    <row r="54" spans="3:7" s="67" customFormat="1" ht="11.25" customHeight="1">
      <c r="C54" s="128" t="s">
        <v>51</v>
      </c>
      <c r="E54" s="128"/>
      <c r="F54" s="128"/>
      <c r="G54" s="128"/>
    </row>
    <row r="55" s="67" customFormat="1" ht="15"/>
    <row r="56" s="67" customFormat="1" ht="15"/>
  </sheetData>
  <sheetProtection/>
  <mergeCells count="26">
    <mergeCell ref="F48:G48"/>
    <mergeCell ref="B48:C48"/>
    <mergeCell ref="F47:G47"/>
    <mergeCell ref="B43:C43"/>
    <mergeCell ref="B47:C47"/>
    <mergeCell ref="B42:C42"/>
    <mergeCell ref="B44:C44"/>
    <mergeCell ref="B45:C45"/>
    <mergeCell ref="F44:G44"/>
    <mergeCell ref="F45:G45"/>
    <mergeCell ref="F43:G43"/>
    <mergeCell ref="F42:G42"/>
    <mergeCell ref="A39:I39"/>
    <mergeCell ref="F41:G41"/>
    <mergeCell ref="B41:C41"/>
    <mergeCell ref="A33:F33"/>
    <mergeCell ref="B46:C46"/>
    <mergeCell ref="F46:G46"/>
    <mergeCell ref="A1:I1"/>
    <mergeCell ref="A2:I2"/>
    <mergeCell ref="A5:I5"/>
    <mergeCell ref="A10:I10"/>
    <mergeCell ref="A3:K3"/>
    <mergeCell ref="A11:I11"/>
    <mergeCell ref="A12:I12"/>
    <mergeCell ref="A34:C34"/>
  </mergeCells>
  <printOptions/>
  <pageMargins left="0" right="0" top="0" bottom="0" header="0.31496062992125984" footer="0.31496062992125984"/>
  <pageSetup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N57"/>
  <sheetViews>
    <sheetView zoomScaleSheetLayoutView="100" zoomScalePageLayoutView="0" workbookViewId="0" topLeftCell="A38">
      <selection activeCell="F45" sqref="F45:G50"/>
    </sheetView>
  </sheetViews>
  <sheetFormatPr defaultColWidth="9.140625" defaultRowHeight="15" outlineLevelCol="1"/>
  <cols>
    <col min="1" max="1" width="4.7109375" style="35" customWidth="1"/>
    <col min="2" max="2" width="45.57421875" style="35" customWidth="1"/>
    <col min="3" max="3" width="12.8515625" style="35" customWidth="1"/>
    <col min="4" max="4" width="13.140625" style="35" bestFit="1" customWidth="1"/>
    <col min="5" max="5" width="12.7109375" style="35" customWidth="1"/>
    <col min="6" max="6" width="15.281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4" width="9.7109375" style="35" bestFit="1" customWidth="1"/>
    <col min="15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4.2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4.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3.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4.5" customHeight="1"/>
    <row r="7" spans="1:6" s="67" customFormat="1" ht="16.5" customHeight="1">
      <c r="A7" s="67" t="s">
        <v>2</v>
      </c>
      <c r="F7" s="126" t="s">
        <v>69</v>
      </c>
    </row>
    <row r="8" spans="1:10" s="67" customFormat="1" ht="15">
      <c r="A8" s="67" t="s">
        <v>3</v>
      </c>
      <c r="F8" s="291" t="s">
        <v>426</v>
      </c>
      <c r="I8" s="199">
        <v>92.4</v>
      </c>
      <c r="J8" s="67">
        <f>4481.29-0.6</f>
        <v>4480.69</v>
      </c>
    </row>
    <row r="9" spans="2:6" s="67" customFormat="1" ht="15.75" customHeight="1">
      <c r="B9" s="67" t="s">
        <v>507</v>
      </c>
      <c r="F9" s="291" t="s">
        <v>506</v>
      </c>
    </row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'[2]пер.Чичерина 24'!$G$37</f>
        <v>-39261.50999999999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'[2]пер.Чичерина 24'!$G$38</f>
        <v>116318.579</v>
      </c>
      <c r="H15" s="62"/>
      <c r="I15" s="62"/>
    </row>
    <row r="16" s="67" customFormat="1" ht="7.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67" customFormat="1" ht="29.25">
      <c r="A18" s="75" t="s">
        <v>14</v>
      </c>
      <c r="B18" s="41" t="s">
        <v>15</v>
      </c>
      <c r="C18" s="135">
        <f>C19+C20+C21+C22</f>
        <v>9.879999999999999</v>
      </c>
      <c r="D18" s="76">
        <v>583366.75</v>
      </c>
      <c r="E18" s="76">
        <v>563140.28</v>
      </c>
      <c r="F18" s="76">
        <f aca="true" t="shared" si="0" ref="F18:F25">D18</f>
        <v>583366.75</v>
      </c>
      <c r="G18" s="77">
        <f>D18-E18</f>
        <v>20226.469999999972</v>
      </c>
      <c r="H18" s="145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204296.45293522268</v>
      </c>
      <c r="E19" s="83">
        <f>E18*I19</f>
        <v>197213.0940080972</v>
      </c>
      <c r="F19" s="83">
        <f t="shared" si="0"/>
        <v>204296.45293522268</v>
      </c>
      <c r="G19" s="84">
        <f>D19-E19</f>
        <v>7083.35892712549</v>
      </c>
      <c r="H19" s="145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99786.4177631579</v>
      </c>
      <c r="E20" s="83">
        <f>E18*I20</f>
        <v>96326.62684210527</v>
      </c>
      <c r="F20" s="83">
        <f t="shared" si="0"/>
        <v>99786.4177631579</v>
      </c>
      <c r="G20" s="84">
        <f>D20-E20</f>
        <v>3459.790921052627</v>
      </c>
      <c r="H20" s="145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99786.4177631579</v>
      </c>
      <c r="E21" s="83">
        <f>E18*I21</f>
        <v>96326.62684210527</v>
      </c>
      <c r="F21" s="83">
        <f t="shared" si="0"/>
        <v>99786.4177631579</v>
      </c>
      <c r="G21" s="84">
        <f>D21-E21</f>
        <v>3459.790921052627</v>
      </c>
      <c r="H21" s="145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179497.46153846156</v>
      </c>
      <c r="E22" s="83">
        <f>E18*I22</f>
        <v>173273.93230769233</v>
      </c>
      <c r="F22" s="83">
        <f t="shared" si="0"/>
        <v>179497.46153846156</v>
      </c>
      <c r="G22" s="84">
        <f>D22-E22</f>
        <v>6223.529230769229</v>
      </c>
      <c r="H22" s="145">
        <f>C22</f>
        <v>3.04</v>
      </c>
      <c r="I22" s="67">
        <f>H22/H18</f>
        <v>0.3076923076923077</v>
      </c>
    </row>
    <row r="23" spans="1:9" ht="26.25">
      <c r="A23" s="41" t="s">
        <v>25</v>
      </c>
      <c r="B23" s="86" t="s">
        <v>462</v>
      </c>
      <c r="C23" s="97" t="s">
        <v>427</v>
      </c>
      <c r="D23" s="77">
        <v>114658.53</v>
      </c>
      <c r="E23" s="77">
        <v>109299.17</v>
      </c>
      <c r="F23" s="77">
        <f t="shared" si="0"/>
        <v>114658.53</v>
      </c>
      <c r="G23" s="77">
        <f aca="true" t="shared" si="1" ref="G23:G33">D23-E23</f>
        <v>5359.360000000001</v>
      </c>
      <c r="H23" s="35">
        <f>101*130</f>
        <v>13130</v>
      </c>
      <c r="I23" s="358">
        <f>D23/H23</f>
        <v>8.732561309977152</v>
      </c>
    </row>
    <row r="24" spans="1:7" ht="15">
      <c r="A24" s="41" t="s">
        <v>27</v>
      </c>
      <c r="B24" s="140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ht="15">
      <c r="A25" s="41" t="s">
        <v>29</v>
      </c>
      <c r="B25" s="140" t="s">
        <v>161</v>
      </c>
      <c r="C25" s="141" t="s">
        <v>296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</row>
    <row r="26" spans="1:14" ht="15">
      <c r="A26" s="41" t="s">
        <v>31</v>
      </c>
      <c r="B26" s="140" t="s">
        <v>116</v>
      </c>
      <c r="C26" s="97">
        <v>1.86</v>
      </c>
      <c r="D26" s="77">
        <v>101400.58</v>
      </c>
      <c r="E26" s="77">
        <v>98722.56</v>
      </c>
      <c r="F26" s="87">
        <f>F44</f>
        <v>99238.43560000001</v>
      </c>
      <c r="G26" s="77">
        <f t="shared" si="1"/>
        <v>2678.020000000004</v>
      </c>
      <c r="M26" s="159"/>
      <c r="N26" s="159"/>
    </row>
    <row r="27" spans="1:7" ht="15">
      <c r="A27" s="41" t="s">
        <v>33</v>
      </c>
      <c r="B27" s="134" t="s">
        <v>34</v>
      </c>
      <c r="C27" s="46">
        <v>0</v>
      </c>
      <c r="D27" s="77">
        <v>0</v>
      </c>
      <c r="E27" s="77">
        <v>0.01</v>
      </c>
      <c r="F27" s="87">
        <v>0</v>
      </c>
      <c r="G27" s="77">
        <f t="shared" si="1"/>
        <v>-0.01</v>
      </c>
    </row>
    <row r="28" spans="1:7" ht="15">
      <c r="A28" s="41" t="s">
        <v>35</v>
      </c>
      <c r="B28" s="134" t="s">
        <v>36</v>
      </c>
      <c r="C28" s="97"/>
      <c r="D28" s="77">
        <f>SUM(D29:D32)</f>
        <v>2006872</v>
      </c>
      <c r="E28" s="77">
        <f>SUM(E29:E32)</f>
        <v>1992935.24</v>
      </c>
      <c r="F28" s="77">
        <f>SUM(F29:F32)</f>
        <v>2006872</v>
      </c>
      <c r="G28" s="77">
        <f t="shared" si="1"/>
        <v>13936.76000000001</v>
      </c>
    </row>
    <row r="29" spans="1:7" ht="15">
      <c r="A29" s="34" t="s">
        <v>37</v>
      </c>
      <c r="B29" s="34" t="s">
        <v>165</v>
      </c>
      <c r="C29" s="285">
        <v>6</v>
      </c>
      <c r="D29" s="84">
        <v>26807.78</v>
      </c>
      <c r="E29" s="84">
        <v>26020.31</v>
      </c>
      <c r="F29" s="84">
        <f>D29</f>
        <v>26807.78</v>
      </c>
      <c r="G29" s="84">
        <f t="shared" si="1"/>
        <v>787.4699999999975</v>
      </c>
    </row>
    <row r="30" spans="1:7" ht="15">
      <c r="A30" s="34" t="s">
        <v>39</v>
      </c>
      <c r="B30" s="34" t="s">
        <v>137</v>
      </c>
      <c r="C30" s="285">
        <v>57.08</v>
      </c>
      <c r="D30" s="84">
        <v>663325</v>
      </c>
      <c r="E30" s="84">
        <v>658142.52</v>
      </c>
      <c r="F30" s="84">
        <f>D30</f>
        <v>663325</v>
      </c>
      <c r="G30" s="84">
        <f t="shared" si="1"/>
        <v>5182.479999999981</v>
      </c>
    </row>
    <row r="31" spans="1:7" ht="15">
      <c r="A31" s="34" t="s">
        <v>42</v>
      </c>
      <c r="B31" s="34" t="s">
        <v>40</v>
      </c>
      <c r="C31" s="286">
        <v>0</v>
      </c>
      <c r="D31" s="84">
        <v>0</v>
      </c>
      <c r="E31" s="84">
        <v>0</v>
      </c>
      <c r="F31" s="84">
        <f>D31</f>
        <v>0</v>
      </c>
      <c r="G31" s="84">
        <f t="shared" si="1"/>
        <v>0</v>
      </c>
    </row>
    <row r="32" spans="1:10" s="102" customFormat="1" ht="15">
      <c r="A32" s="34" t="s">
        <v>41</v>
      </c>
      <c r="B32" s="34" t="s">
        <v>43</v>
      </c>
      <c r="C32" s="285">
        <v>2638.8</v>
      </c>
      <c r="D32" s="84">
        <v>1316739.22</v>
      </c>
      <c r="E32" s="84">
        <v>1308772.41</v>
      </c>
      <c r="F32" s="84">
        <f>D32</f>
        <v>1316739.22</v>
      </c>
      <c r="G32" s="84">
        <f t="shared" si="1"/>
        <v>7966.810000000056</v>
      </c>
      <c r="H32" s="101"/>
      <c r="I32" s="101"/>
      <c r="J32" s="101"/>
    </row>
    <row r="33" spans="1:10" s="102" customFormat="1" ht="15">
      <c r="A33" s="191" t="s">
        <v>271</v>
      </c>
      <c r="B33" s="327" t="s">
        <v>275</v>
      </c>
      <c r="C33" s="285"/>
      <c r="D33" s="287">
        <f>(500*12)+(500*12)+(500*12)</f>
        <v>18000</v>
      </c>
      <c r="E33" s="287">
        <v>12045</v>
      </c>
      <c r="F33" s="315"/>
      <c r="G33" s="287">
        <f t="shared" si="1"/>
        <v>5955</v>
      </c>
      <c r="H33" s="101"/>
      <c r="I33" s="101"/>
      <c r="J33" s="101"/>
    </row>
    <row r="34" spans="1:10" s="102" customFormat="1" ht="15">
      <c r="A34" s="191"/>
      <c r="B34" s="419"/>
      <c r="C34" s="487" t="s">
        <v>557</v>
      </c>
      <c r="D34" s="488"/>
      <c r="E34" s="488"/>
      <c r="F34" s="488"/>
      <c r="G34" s="424">
        <f>E33-(E33*15%)</f>
        <v>10238.25</v>
      </c>
      <c r="H34" s="101"/>
      <c r="I34" s="101"/>
      <c r="J34" s="101"/>
    </row>
    <row r="35" spans="1:10" s="102" customFormat="1" ht="15.75" thickBot="1">
      <c r="A35" s="446" t="s">
        <v>294</v>
      </c>
      <c r="B35" s="447"/>
      <c r="C35" s="447"/>
      <c r="D35" s="448"/>
      <c r="E35" s="448"/>
      <c r="F35" s="448"/>
      <c r="G35" s="170"/>
      <c r="H35" s="101"/>
      <c r="I35" s="101"/>
      <c r="J35" s="101"/>
    </row>
    <row r="36" spans="1:9" s="67" customFormat="1" ht="15.75" thickBot="1">
      <c r="A36" s="455" t="s">
        <v>413</v>
      </c>
      <c r="B36" s="456"/>
      <c r="C36" s="456"/>
      <c r="D36" s="65">
        <v>979656.08</v>
      </c>
      <c r="E36" s="66"/>
      <c r="F36" s="66"/>
      <c r="G36" s="66"/>
      <c r="H36" s="62"/>
      <c r="I36" s="62"/>
    </row>
    <row r="37" spans="1:9" s="67" customFormat="1" ht="6" customHeight="1" thickBot="1">
      <c r="A37" s="68"/>
      <c r="B37" s="68"/>
      <c r="C37" s="68"/>
      <c r="D37" s="40"/>
      <c r="E37" s="66"/>
      <c r="F37" s="66"/>
      <c r="G37" s="66"/>
      <c r="H37" s="62"/>
      <c r="I37" s="62"/>
    </row>
    <row r="38" spans="1:9" s="67" customFormat="1" ht="15.75" thickBot="1">
      <c r="A38" s="63" t="s">
        <v>414</v>
      </c>
      <c r="B38" s="64"/>
      <c r="C38" s="64"/>
      <c r="D38" s="69"/>
      <c r="E38" s="70"/>
      <c r="F38" s="70"/>
      <c r="G38" s="144">
        <f>G14+E27-F27</f>
        <v>-39261.499999999985</v>
      </c>
      <c r="H38" s="62"/>
      <c r="I38" s="62"/>
    </row>
    <row r="39" spans="1:9" s="67" customFormat="1" ht="15.75" thickBot="1">
      <c r="A39" s="63" t="s">
        <v>415</v>
      </c>
      <c r="B39" s="64"/>
      <c r="C39" s="64"/>
      <c r="D39" s="69"/>
      <c r="E39" s="70"/>
      <c r="F39" s="70"/>
      <c r="G39" s="144">
        <f>G15+E26-F26</f>
        <v>115802.70339999998</v>
      </c>
      <c r="H39" s="62"/>
      <c r="I39" s="62"/>
    </row>
    <row r="40" spans="1:9" s="67" customFormat="1" ht="15">
      <c r="A40" s="68"/>
      <c r="B40" s="68"/>
      <c r="C40" s="68"/>
      <c r="D40" s="40"/>
      <c r="E40" s="66"/>
      <c r="F40" s="66"/>
      <c r="G40" s="40"/>
      <c r="H40" s="62"/>
      <c r="I40" s="62"/>
    </row>
    <row r="41" spans="1:9" ht="25.5" customHeight="1">
      <c r="A41" s="537" t="s">
        <v>44</v>
      </c>
      <c r="B41" s="537"/>
      <c r="C41" s="537"/>
      <c r="D41" s="537"/>
      <c r="E41" s="537"/>
      <c r="F41" s="537"/>
      <c r="G41" s="537"/>
      <c r="H41" s="537"/>
      <c r="I41" s="537"/>
    </row>
    <row r="42" ht="4.5" customHeight="1"/>
    <row r="43" spans="1:7" s="171" customFormat="1" ht="28.5" customHeight="1">
      <c r="A43" s="105" t="s">
        <v>11</v>
      </c>
      <c r="B43" s="471" t="s">
        <v>45</v>
      </c>
      <c r="C43" s="484"/>
      <c r="D43" s="105" t="s">
        <v>163</v>
      </c>
      <c r="E43" s="105" t="s">
        <v>162</v>
      </c>
      <c r="F43" s="471" t="s">
        <v>46</v>
      </c>
      <c r="G43" s="484"/>
    </row>
    <row r="44" spans="1:7" s="114" customFormat="1" ht="12.75" customHeight="1">
      <c r="A44" s="109" t="s">
        <v>47</v>
      </c>
      <c r="B44" s="473" t="s">
        <v>111</v>
      </c>
      <c r="C44" s="491"/>
      <c r="D44" s="110"/>
      <c r="E44" s="110"/>
      <c r="F44" s="496">
        <f>SUM(F45:L50)</f>
        <v>99238.43560000001</v>
      </c>
      <c r="G44" s="483"/>
    </row>
    <row r="45" spans="1:7" ht="22.5" customHeight="1">
      <c r="A45" s="34" t="s">
        <v>16</v>
      </c>
      <c r="B45" s="462" t="s">
        <v>571</v>
      </c>
      <c r="C45" s="489"/>
      <c r="D45" s="337" t="s">
        <v>216</v>
      </c>
      <c r="E45" s="337">
        <v>14</v>
      </c>
      <c r="F45" s="525">
        <v>40144.91</v>
      </c>
      <c r="G45" s="526"/>
    </row>
    <row r="46" spans="1:7" ht="27" customHeight="1">
      <c r="A46" s="34" t="s">
        <v>18</v>
      </c>
      <c r="B46" s="462" t="s">
        <v>326</v>
      </c>
      <c r="C46" s="489"/>
      <c r="D46" s="337"/>
      <c r="E46" s="337" t="s">
        <v>221</v>
      </c>
      <c r="F46" s="497">
        <v>3400</v>
      </c>
      <c r="G46" s="497"/>
    </row>
    <row r="47" spans="1:7" ht="12.75" customHeight="1">
      <c r="A47" s="34" t="s">
        <v>20</v>
      </c>
      <c r="B47" s="416" t="s">
        <v>570</v>
      </c>
      <c r="C47" s="422"/>
      <c r="D47" s="403" t="s">
        <v>164</v>
      </c>
      <c r="E47" s="403">
        <v>2</v>
      </c>
      <c r="F47" s="525">
        <v>9906.3</v>
      </c>
      <c r="G47" s="526"/>
    </row>
    <row r="48" spans="1:7" ht="18" customHeight="1">
      <c r="A48" s="34" t="s">
        <v>22</v>
      </c>
      <c r="B48" s="462" t="s">
        <v>168</v>
      </c>
      <c r="C48" s="489"/>
      <c r="D48" s="118"/>
      <c r="E48" s="121"/>
      <c r="F48" s="525">
        <v>28000</v>
      </c>
      <c r="G48" s="526"/>
    </row>
    <row r="49" spans="1:7" ht="18" customHeight="1">
      <c r="A49" s="34" t="s">
        <v>24</v>
      </c>
      <c r="B49" s="449" t="s">
        <v>814</v>
      </c>
      <c r="C49" s="451"/>
      <c r="D49" s="118" t="s">
        <v>391</v>
      </c>
      <c r="E49" s="121">
        <v>6</v>
      </c>
      <c r="F49" s="521">
        <v>16800</v>
      </c>
      <c r="G49" s="522"/>
    </row>
    <row r="50" spans="1:7" ht="15">
      <c r="A50" s="34" t="s">
        <v>103</v>
      </c>
      <c r="B50" s="148" t="s">
        <v>188</v>
      </c>
      <c r="C50" s="149"/>
      <c r="D50" s="118"/>
      <c r="E50" s="118"/>
      <c r="F50" s="495">
        <f>E26*1%</f>
        <v>987.2256</v>
      </c>
      <c r="G50" s="495"/>
    </row>
    <row r="51" s="67" customFormat="1" ht="13.5" customHeight="1"/>
    <row r="52" spans="1:6" s="67" customFormat="1" ht="15">
      <c r="A52" s="67" t="s">
        <v>55</v>
      </c>
      <c r="C52" s="67" t="s">
        <v>49</v>
      </c>
      <c r="F52" s="67" t="s">
        <v>90</v>
      </c>
    </row>
    <row r="53" s="67" customFormat="1" ht="12" customHeight="1">
      <c r="F53" s="126" t="s">
        <v>545</v>
      </c>
    </row>
    <row r="54" s="67" customFormat="1" ht="15">
      <c r="A54" s="67" t="s">
        <v>50</v>
      </c>
    </row>
    <row r="55" spans="3:7" s="67" customFormat="1" ht="15">
      <c r="C55" s="128" t="s">
        <v>51</v>
      </c>
      <c r="E55" s="128"/>
      <c r="F55" s="128"/>
      <c r="G55" s="128"/>
    </row>
    <row r="56" spans="1:7" ht="15">
      <c r="A56" s="67"/>
      <c r="B56" s="67"/>
      <c r="C56" s="67"/>
      <c r="D56" s="67"/>
      <c r="E56" s="67"/>
      <c r="F56" s="67"/>
      <c r="G56" s="67"/>
    </row>
    <row r="57" spans="1:7" ht="15">
      <c r="A57" s="67"/>
      <c r="B57" s="67"/>
      <c r="C57" s="67"/>
      <c r="D57" s="67"/>
      <c r="E57" s="67"/>
      <c r="F57" s="67"/>
      <c r="G57" s="67"/>
    </row>
  </sheetData>
  <sheetProtection/>
  <mergeCells count="25">
    <mergeCell ref="B49:C49"/>
    <mergeCell ref="F49:G49"/>
    <mergeCell ref="A12:I12"/>
    <mergeCell ref="A36:C36"/>
    <mergeCell ref="A11:I11"/>
    <mergeCell ref="A1:I1"/>
    <mergeCell ref="A2:I2"/>
    <mergeCell ref="A5:I5"/>
    <mergeCell ref="A10:I10"/>
    <mergeCell ref="A3:K3"/>
    <mergeCell ref="A35:F35"/>
    <mergeCell ref="C34:F34"/>
    <mergeCell ref="F50:G50"/>
    <mergeCell ref="F45:G45"/>
    <mergeCell ref="F43:G43"/>
    <mergeCell ref="F44:G44"/>
    <mergeCell ref="F48:G48"/>
    <mergeCell ref="F46:G46"/>
    <mergeCell ref="A41:I41"/>
    <mergeCell ref="B43:C43"/>
    <mergeCell ref="B44:C44"/>
    <mergeCell ref="B45:C45"/>
    <mergeCell ref="B46:C46"/>
    <mergeCell ref="B48:C48"/>
    <mergeCell ref="F47:G47"/>
  </mergeCells>
  <printOptions/>
  <pageMargins left="0" right="0" top="0" bottom="0" header="0.31496062992125984" footer="0.31496062992125984"/>
  <pageSetup horizontalDpi="600" verticalDpi="6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K53"/>
  <sheetViews>
    <sheetView zoomScalePageLayoutView="0" workbookViewId="0" topLeftCell="A38">
      <selection activeCell="B44" sqref="B44:G44"/>
    </sheetView>
  </sheetViews>
  <sheetFormatPr defaultColWidth="9.140625" defaultRowHeight="15" outlineLevelCol="1"/>
  <cols>
    <col min="1" max="1" width="4.7109375" style="35" customWidth="1"/>
    <col min="2" max="2" width="47.28125" style="35" customWidth="1"/>
    <col min="3" max="3" width="12.8515625" style="35" customWidth="1"/>
    <col min="4" max="4" width="13.57421875" style="35" customWidth="1"/>
    <col min="5" max="5" width="15.57421875" style="35" customWidth="1"/>
    <col min="6" max="6" width="14.5742187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6.7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6.75" customHeight="1"/>
    <row r="7" spans="1:6" s="67" customFormat="1" ht="16.5" customHeight="1">
      <c r="A7" s="67" t="s">
        <v>2</v>
      </c>
      <c r="F7" s="126" t="s">
        <v>70</v>
      </c>
    </row>
    <row r="8" spans="1:6" s="67" customFormat="1" ht="15">
      <c r="A8" s="67" t="s">
        <v>3</v>
      </c>
      <c r="F8" s="291" t="s">
        <v>299</v>
      </c>
    </row>
    <row r="9" s="67" customFormat="1" ht="6" customHeight="1"/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'[2]пер. Чичерина 28'!$G$35</f>
        <v>99543.7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'[2]пер. Чичерина 28'!$G$36</f>
        <v>20514.321400000023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67" customFormat="1" ht="29.25">
      <c r="A18" s="75" t="s">
        <v>14</v>
      </c>
      <c r="B18" s="41" t="s">
        <v>15</v>
      </c>
      <c r="C18" s="135">
        <f>C19+C20+C21+C22</f>
        <v>9.879999999999999</v>
      </c>
      <c r="D18" s="76">
        <v>391973.3</v>
      </c>
      <c r="E18" s="76">
        <v>415087.33</v>
      </c>
      <c r="F18" s="76">
        <f>D18</f>
        <v>391973.3</v>
      </c>
      <c r="G18" s="77">
        <f>D18-E18</f>
        <v>-23114.030000000028</v>
      </c>
      <c r="H18" s="145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137270.00182186236</v>
      </c>
      <c r="E19" s="83">
        <f>E18*I19</f>
        <v>145364.59127530365</v>
      </c>
      <c r="F19" s="83">
        <f>D19</f>
        <v>137270.00182186236</v>
      </c>
      <c r="G19" s="84">
        <f>D19-E19</f>
        <v>-8094.589453441295</v>
      </c>
      <c r="H19" s="145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67048.06447368421</v>
      </c>
      <c r="E20" s="83">
        <f>E18*I20</f>
        <v>71001.78013157895</v>
      </c>
      <c r="F20" s="83">
        <f>D20</f>
        <v>67048.06447368421</v>
      </c>
      <c r="G20" s="84">
        <f>D20-E20</f>
        <v>-3953.715657894747</v>
      </c>
      <c r="H20" s="145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67048.06447368421</v>
      </c>
      <c r="E21" s="83">
        <f>E18*I21</f>
        <v>71001.78013157895</v>
      </c>
      <c r="F21" s="83">
        <f>D21</f>
        <v>67048.06447368421</v>
      </c>
      <c r="G21" s="84">
        <f>D21-E21</f>
        <v>-3953.715657894747</v>
      </c>
      <c r="H21" s="145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120607.16923076923</v>
      </c>
      <c r="E22" s="83">
        <f>E18*I22</f>
        <v>127719.17846153847</v>
      </c>
      <c r="F22" s="83">
        <f>D22</f>
        <v>120607.16923076923</v>
      </c>
      <c r="G22" s="84">
        <f>D22-E22</f>
        <v>-7112.009230769239</v>
      </c>
      <c r="H22" s="145">
        <f>C22</f>
        <v>3.04</v>
      </c>
      <c r="I22" s="67">
        <f>H22/H18</f>
        <v>0.3076923076923077</v>
      </c>
    </row>
    <row r="23" spans="1:9" ht="15">
      <c r="A23" s="41" t="s">
        <v>25</v>
      </c>
      <c r="B23" s="86" t="s">
        <v>462</v>
      </c>
      <c r="C23" s="97" t="s">
        <v>428</v>
      </c>
      <c r="D23" s="77">
        <v>81900</v>
      </c>
      <c r="E23" s="77">
        <v>75709.63</v>
      </c>
      <c r="F23" s="77">
        <v>0</v>
      </c>
      <c r="G23" s="77">
        <f aca="true" t="shared" si="0" ref="G23:G32">D23-E23</f>
        <v>6190.369999999995</v>
      </c>
      <c r="H23" s="35">
        <f>71*130</f>
        <v>9230</v>
      </c>
      <c r="I23" s="358">
        <f>D23/H23</f>
        <v>8.873239436619718</v>
      </c>
    </row>
    <row r="24" spans="1:7" ht="15">
      <c r="A24" s="41" t="s">
        <v>27</v>
      </c>
      <c r="B24" s="140" t="s">
        <v>28</v>
      </c>
      <c r="C24" s="97">
        <v>0</v>
      </c>
      <c r="D24" s="77">
        <v>0</v>
      </c>
      <c r="E24" s="77">
        <v>0</v>
      </c>
      <c r="F24" s="77">
        <f>D24</f>
        <v>0</v>
      </c>
      <c r="G24" s="77">
        <f t="shared" si="0"/>
        <v>0</v>
      </c>
    </row>
    <row r="25" spans="1:7" ht="15">
      <c r="A25" s="41" t="s">
        <v>29</v>
      </c>
      <c r="B25" s="140" t="s">
        <v>161</v>
      </c>
      <c r="C25" s="141"/>
      <c r="D25" s="77">
        <v>0</v>
      </c>
      <c r="E25" s="77">
        <v>0</v>
      </c>
      <c r="F25" s="77">
        <f>D25</f>
        <v>0</v>
      </c>
      <c r="G25" s="77">
        <f t="shared" si="0"/>
        <v>0</v>
      </c>
    </row>
    <row r="26" spans="1:7" ht="15">
      <c r="A26" s="41" t="s">
        <v>31</v>
      </c>
      <c r="B26" s="140" t="s">
        <v>116</v>
      </c>
      <c r="C26" s="97">
        <v>1.86</v>
      </c>
      <c r="D26" s="77">
        <v>69678.84</v>
      </c>
      <c r="E26" s="77">
        <v>71023.73</v>
      </c>
      <c r="F26" s="87">
        <f>F41</f>
        <v>63510.2373</v>
      </c>
      <c r="G26" s="77">
        <f t="shared" si="0"/>
        <v>-1344.8899999999994</v>
      </c>
    </row>
    <row r="27" spans="1:7" ht="15">
      <c r="A27" s="41" t="s">
        <v>33</v>
      </c>
      <c r="B27" s="134" t="s">
        <v>34</v>
      </c>
      <c r="C27" s="46">
        <v>0</v>
      </c>
      <c r="D27" s="77">
        <v>0</v>
      </c>
      <c r="E27" s="77">
        <v>0</v>
      </c>
      <c r="F27" s="87">
        <v>0</v>
      </c>
      <c r="G27" s="77">
        <f t="shared" si="0"/>
        <v>0</v>
      </c>
    </row>
    <row r="28" spans="1:7" ht="15">
      <c r="A28" s="41" t="s">
        <v>35</v>
      </c>
      <c r="B28" s="134" t="s">
        <v>36</v>
      </c>
      <c r="C28" s="97"/>
      <c r="D28" s="77">
        <f>SUM(D29:D32)</f>
        <v>1870472.7400000002</v>
      </c>
      <c r="E28" s="77">
        <f>SUM(E29:E32)</f>
        <v>1869924.75</v>
      </c>
      <c r="F28" s="77">
        <f>SUM(F29:F32)</f>
        <v>1870472.7400000002</v>
      </c>
      <c r="G28" s="77">
        <f t="shared" si="0"/>
        <v>547.9900000002235</v>
      </c>
    </row>
    <row r="29" spans="1:7" ht="15">
      <c r="A29" s="34" t="s">
        <v>37</v>
      </c>
      <c r="B29" s="34" t="s">
        <v>165</v>
      </c>
      <c r="C29" s="285">
        <v>6</v>
      </c>
      <c r="D29" s="84">
        <v>40611.36</v>
      </c>
      <c r="E29" s="84">
        <v>41152.17</v>
      </c>
      <c r="F29" s="84">
        <f>D29</f>
        <v>40611.36</v>
      </c>
      <c r="G29" s="84">
        <f t="shared" si="0"/>
        <v>-540.8099999999977</v>
      </c>
    </row>
    <row r="30" spans="1:7" ht="15">
      <c r="A30" s="34" t="s">
        <v>39</v>
      </c>
      <c r="B30" s="34" t="s">
        <v>137</v>
      </c>
      <c r="C30" s="285">
        <v>57.08</v>
      </c>
      <c r="D30" s="84">
        <v>468975.77</v>
      </c>
      <c r="E30" s="84">
        <v>456606.16</v>
      </c>
      <c r="F30" s="84">
        <f>D30</f>
        <v>468975.77</v>
      </c>
      <c r="G30" s="84">
        <f t="shared" si="0"/>
        <v>12369.610000000044</v>
      </c>
    </row>
    <row r="31" spans="1:7" ht="15">
      <c r="A31" s="34" t="s">
        <v>42</v>
      </c>
      <c r="B31" s="34" t="s">
        <v>40</v>
      </c>
      <c r="C31" s="286">
        <v>0</v>
      </c>
      <c r="D31" s="84">
        <v>0</v>
      </c>
      <c r="E31" s="84">
        <v>0</v>
      </c>
      <c r="F31" s="84">
        <f>D31</f>
        <v>0</v>
      </c>
      <c r="G31" s="84">
        <f t="shared" si="0"/>
        <v>0</v>
      </c>
    </row>
    <row r="32" spans="1:9" ht="15.75" thickBot="1">
      <c r="A32" s="34" t="s">
        <v>41</v>
      </c>
      <c r="B32" s="34" t="s">
        <v>43</v>
      </c>
      <c r="C32" s="285">
        <v>2638.8</v>
      </c>
      <c r="D32" s="84">
        <v>1360885.61</v>
      </c>
      <c r="E32" s="84">
        <v>1372166.42</v>
      </c>
      <c r="F32" s="84">
        <f>D32</f>
        <v>1360885.61</v>
      </c>
      <c r="G32" s="84">
        <f t="shared" si="0"/>
        <v>-11280.809999999823</v>
      </c>
      <c r="H32" s="101"/>
      <c r="I32" s="101"/>
    </row>
    <row r="33" spans="1:10" s="102" customFormat="1" ht="14.25" thickBot="1">
      <c r="A33" s="455" t="s">
        <v>413</v>
      </c>
      <c r="B33" s="456"/>
      <c r="C33" s="456"/>
      <c r="D33" s="65">
        <v>1074173.75</v>
      </c>
      <c r="E33" s="66"/>
      <c r="F33" s="66"/>
      <c r="G33" s="66"/>
      <c r="H33" s="62"/>
      <c r="I33" s="62"/>
      <c r="J33" s="101"/>
    </row>
    <row r="34" spans="1:9" s="67" customFormat="1" ht="15.75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414</v>
      </c>
      <c r="B35" s="64"/>
      <c r="C35" s="64"/>
      <c r="D35" s="69"/>
      <c r="E35" s="70"/>
      <c r="F35" s="70"/>
      <c r="G35" s="144">
        <f>G14+E27-F27</f>
        <v>99543.7</v>
      </c>
      <c r="H35" s="62"/>
      <c r="I35" s="62"/>
    </row>
    <row r="36" spans="1:9" s="67" customFormat="1" ht="15.75" thickBot="1">
      <c r="A36" s="63" t="s">
        <v>415</v>
      </c>
      <c r="B36" s="64"/>
      <c r="C36" s="64"/>
      <c r="D36" s="69"/>
      <c r="E36" s="70"/>
      <c r="F36" s="70"/>
      <c r="G36" s="144">
        <f>G15+E26-F26</f>
        <v>28027.814100000025</v>
      </c>
      <c r="H36" s="62"/>
      <c r="I36" s="62"/>
    </row>
    <row r="37" spans="1:9" s="67" customFormat="1" ht="15">
      <c r="A37" s="68"/>
      <c r="B37" s="68"/>
      <c r="C37" s="68"/>
      <c r="D37" s="40"/>
      <c r="E37" s="66"/>
      <c r="F37" s="66"/>
      <c r="G37" s="40"/>
      <c r="H37" s="62"/>
      <c r="I37" s="62"/>
    </row>
    <row r="38" spans="1:9" s="67" customFormat="1" ht="35.25" customHeight="1">
      <c r="A38" s="537" t="s">
        <v>44</v>
      </c>
      <c r="B38" s="537"/>
      <c r="C38" s="537"/>
      <c r="D38" s="537"/>
      <c r="E38" s="537"/>
      <c r="F38" s="537"/>
      <c r="G38" s="537"/>
      <c r="H38" s="537"/>
      <c r="I38" s="537"/>
    </row>
    <row r="39" ht="27" customHeight="1"/>
    <row r="40" spans="1:9" ht="28.5">
      <c r="A40" s="105" t="s">
        <v>11</v>
      </c>
      <c r="B40" s="471" t="s">
        <v>45</v>
      </c>
      <c r="C40" s="484"/>
      <c r="D40" s="105" t="s">
        <v>163</v>
      </c>
      <c r="E40" s="105" t="s">
        <v>162</v>
      </c>
      <c r="F40" s="471" t="s">
        <v>46</v>
      </c>
      <c r="G40" s="484"/>
      <c r="H40" s="171"/>
      <c r="I40" s="171"/>
    </row>
    <row r="41" spans="1:9" s="171" customFormat="1" ht="15">
      <c r="A41" s="109" t="s">
        <v>47</v>
      </c>
      <c r="B41" s="473" t="s">
        <v>111</v>
      </c>
      <c r="C41" s="491"/>
      <c r="D41" s="110"/>
      <c r="E41" s="110"/>
      <c r="F41" s="496">
        <f>SUM(F42:L45)</f>
        <v>63510.2373</v>
      </c>
      <c r="G41" s="483"/>
      <c r="H41" s="114"/>
      <c r="I41" s="114"/>
    </row>
    <row r="42" spans="1:9" s="114" customFormat="1" ht="12.75" customHeight="1">
      <c r="A42" s="34" t="s">
        <v>16</v>
      </c>
      <c r="B42" s="462" t="s">
        <v>168</v>
      </c>
      <c r="C42" s="498"/>
      <c r="D42" s="403"/>
      <c r="E42" s="406"/>
      <c r="F42" s="482">
        <v>34000</v>
      </c>
      <c r="G42" s="482"/>
      <c r="H42" s="35"/>
      <c r="I42" s="35"/>
    </row>
    <row r="43" spans="1:9" s="114" customFormat="1" ht="12.75" customHeight="1">
      <c r="A43" s="34" t="s">
        <v>18</v>
      </c>
      <c r="B43" s="462" t="s">
        <v>572</v>
      </c>
      <c r="C43" s="498"/>
      <c r="D43" s="403"/>
      <c r="E43" s="406"/>
      <c r="F43" s="482">
        <v>12000</v>
      </c>
      <c r="G43" s="482"/>
      <c r="H43" s="35"/>
      <c r="I43" s="35"/>
    </row>
    <row r="44" spans="1:9" s="114" customFormat="1" ht="12.75" customHeight="1">
      <c r="A44" s="34" t="s">
        <v>20</v>
      </c>
      <c r="B44" s="116" t="s">
        <v>814</v>
      </c>
      <c r="C44" s="439"/>
      <c r="D44" s="118" t="s">
        <v>391</v>
      </c>
      <c r="E44" s="152">
        <v>6</v>
      </c>
      <c r="F44" s="490">
        <v>16800</v>
      </c>
      <c r="G44" s="490"/>
      <c r="H44" s="35"/>
      <c r="I44" s="35"/>
    </row>
    <row r="45" spans="1:9" s="67" customFormat="1" ht="15">
      <c r="A45" s="34" t="s">
        <v>22</v>
      </c>
      <c r="B45" s="148" t="s">
        <v>188</v>
      </c>
      <c r="C45" s="149"/>
      <c r="D45" s="118"/>
      <c r="E45" s="118"/>
      <c r="F45" s="495">
        <f>E26*1%</f>
        <v>710.2373</v>
      </c>
      <c r="G45" s="495"/>
      <c r="H45" s="35"/>
      <c r="I45" s="35"/>
    </row>
    <row r="46" s="67" customFormat="1" ht="13.5" customHeight="1"/>
    <row r="47" s="67" customFormat="1" ht="13.5" customHeight="1"/>
    <row r="48" spans="1:6" s="67" customFormat="1" ht="13.5" customHeight="1">
      <c r="A48" s="67" t="s">
        <v>55</v>
      </c>
      <c r="C48" s="67" t="s">
        <v>49</v>
      </c>
      <c r="F48" s="67" t="s">
        <v>90</v>
      </c>
    </row>
    <row r="49" s="67" customFormat="1" ht="13.5" customHeight="1">
      <c r="F49" s="126" t="s">
        <v>545</v>
      </c>
    </row>
    <row r="50" s="67" customFormat="1" ht="15">
      <c r="A50" s="67" t="s">
        <v>50</v>
      </c>
    </row>
    <row r="51" spans="3:7" s="67" customFormat="1" ht="15">
      <c r="C51" s="128" t="s">
        <v>51</v>
      </c>
      <c r="E51" s="128"/>
      <c r="F51" s="128"/>
      <c r="G51" s="128"/>
    </row>
    <row r="52" s="67" customFormat="1" ht="15"/>
    <row r="53" spans="1:7" s="67" customFormat="1" ht="15">
      <c r="A53" s="35"/>
      <c r="B53" s="35"/>
      <c r="C53" s="35"/>
      <c r="D53" s="35"/>
      <c r="E53" s="35"/>
      <c r="F53" s="35"/>
      <c r="G53" s="35"/>
    </row>
  </sheetData>
  <sheetProtection/>
  <mergeCells count="19">
    <mergeCell ref="F45:G45"/>
    <mergeCell ref="A11:I11"/>
    <mergeCell ref="A12:I12"/>
    <mergeCell ref="F41:G41"/>
    <mergeCell ref="B42:C42"/>
    <mergeCell ref="B43:C43"/>
    <mergeCell ref="F43:G43"/>
    <mergeCell ref="B41:C41"/>
    <mergeCell ref="F42:G42"/>
    <mergeCell ref="A1:I1"/>
    <mergeCell ref="A2:I2"/>
    <mergeCell ref="A5:I5"/>
    <mergeCell ref="A10:I10"/>
    <mergeCell ref="A3:K3"/>
    <mergeCell ref="F44:G44"/>
    <mergeCell ref="A33:C33"/>
    <mergeCell ref="A38:I38"/>
    <mergeCell ref="B40:C40"/>
    <mergeCell ref="F40:G40"/>
  </mergeCells>
  <printOptions/>
  <pageMargins left="0" right="0" top="0" bottom="0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56"/>
  <sheetViews>
    <sheetView zoomScale="96" zoomScaleNormal="96" zoomScalePageLayoutView="0" workbookViewId="0" topLeftCell="A39">
      <selection activeCell="F49" sqref="F49:G49"/>
    </sheetView>
  </sheetViews>
  <sheetFormatPr defaultColWidth="9.140625" defaultRowHeight="15" outlineLevelCol="1"/>
  <cols>
    <col min="1" max="1" width="5.28125" style="35" customWidth="1"/>
    <col min="2" max="2" width="43.140625" style="35" customWidth="1"/>
    <col min="3" max="3" width="13.28125" style="159" customWidth="1"/>
    <col min="4" max="4" width="13.8515625" style="159" customWidth="1"/>
    <col min="5" max="5" width="13.7109375" style="159" customWidth="1"/>
    <col min="6" max="6" width="14.57421875" style="159" customWidth="1"/>
    <col min="7" max="7" width="15.00390625" style="159" customWidth="1"/>
    <col min="8" max="8" width="10.8515625" style="35" hidden="1" customWidth="1" outlineLevel="1"/>
    <col min="9" max="9" width="13.421875" style="35" hidden="1" customWidth="1" outlineLevel="1"/>
    <col min="10" max="11" width="9.140625" style="35" hidden="1" customWidth="1" outlineLevel="1"/>
    <col min="12" max="12" width="9.140625" style="35" hidden="1" customWidth="1" outlineLevel="1" collapsed="1"/>
    <col min="13" max="13" width="10.00390625" style="35" bestFit="1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5.7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3" customHeight="1">
      <c r="A4" s="157"/>
      <c r="B4" s="157"/>
      <c r="C4" s="158"/>
      <c r="D4" s="158"/>
      <c r="E4" s="158"/>
      <c r="F4" s="158"/>
      <c r="G4" s="158"/>
      <c r="H4" s="157"/>
      <c r="I4" s="157"/>
    </row>
    <row r="5" spans="1:9" ht="15.7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3" customHeight="1"/>
    <row r="7" spans="1:7" s="67" customFormat="1" ht="16.5" customHeight="1">
      <c r="A7" s="67" t="s">
        <v>2</v>
      </c>
      <c r="C7" s="145"/>
      <c r="D7" s="145"/>
      <c r="E7" s="145"/>
      <c r="F7" s="160" t="s">
        <v>56</v>
      </c>
      <c r="G7" s="145"/>
    </row>
    <row r="8" spans="1:7" s="67" customFormat="1" ht="15">
      <c r="A8" s="67" t="s">
        <v>3</v>
      </c>
      <c r="C8" s="145"/>
      <c r="D8" s="145"/>
      <c r="E8" s="145"/>
      <c r="F8" s="160" t="s">
        <v>334</v>
      </c>
      <c r="G8" s="145"/>
    </row>
    <row r="9" spans="3:7" s="67" customFormat="1" ht="4.5" customHeight="1">
      <c r="C9" s="145"/>
      <c r="D9" s="145"/>
      <c r="E9" s="145"/>
      <c r="F9" s="145"/>
      <c r="G9" s="145"/>
    </row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163"/>
      <c r="D13" s="162"/>
      <c r="E13" s="162"/>
      <c r="F13" s="162"/>
      <c r="G13" s="162"/>
      <c r="H13" s="62"/>
      <c r="I13" s="62"/>
    </row>
    <row r="14" spans="1:9" s="67" customFormat="1" ht="15.75" thickBot="1">
      <c r="A14" s="63" t="s">
        <v>335</v>
      </c>
      <c r="B14" s="64"/>
      <c r="C14" s="164"/>
      <c r="D14" s="165"/>
      <c r="E14" s="165"/>
      <c r="F14" s="165"/>
      <c r="G14" s="161">
        <f>'[2]Пионерская 16'!$G$34</f>
        <v>34925.52</v>
      </c>
      <c r="H14" s="62"/>
      <c r="I14" s="62"/>
    </row>
    <row r="15" spans="1:9" s="67" customFormat="1" ht="15.75" thickBot="1">
      <c r="A15" s="63" t="s">
        <v>336</v>
      </c>
      <c r="B15" s="64"/>
      <c r="C15" s="164"/>
      <c r="D15" s="165"/>
      <c r="E15" s="165"/>
      <c r="F15" s="165"/>
      <c r="G15" s="161">
        <f>'[2]Пионерская 16'!$G$35</f>
        <v>411995.1868999999</v>
      </c>
      <c r="H15" s="62"/>
      <c r="I15" s="62"/>
    </row>
    <row r="16" spans="3:7" s="67" customFormat="1" ht="8.25" customHeight="1">
      <c r="C16" s="145"/>
      <c r="D16" s="145"/>
      <c r="E16" s="145"/>
      <c r="F16" s="145"/>
      <c r="G16" s="145"/>
    </row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167" customFormat="1" ht="14.25">
      <c r="A18" s="75" t="s">
        <v>14</v>
      </c>
      <c r="B18" s="134" t="s">
        <v>15</v>
      </c>
      <c r="C18" s="135">
        <f>C19+C20+C21+C22</f>
        <v>9.879999999999999</v>
      </c>
      <c r="D18" s="76">
        <v>604240.19</v>
      </c>
      <c r="E18" s="76">
        <v>589642.9</v>
      </c>
      <c r="F18" s="76">
        <f aca="true" t="shared" si="0" ref="F18:F24">D18</f>
        <v>604240.19</v>
      </c>
      <c r="G18" s="77">
        <f>D18-E18</f>
        <v>14597.28999999992</v>
      </c>
      <c r="H18" s="166">
        <f aca="true" t="shared" si="1" ref="H18:H23">C18</f>
        <v>9.879999999999999</v>
      </c>
    </row>
    <row r="19" spans="1:9" s="67" customFormat="1" ht="15">
      <c r="A19" s="81" t="s">
        <v>16</v>
      </c>
      <c r="B19" s="139" t="s">
        <v>17</v>
      </c>
      <c r="C19" s="99">
        <v>3.46</v>
      </c>
      <c r="D19" s="83">
        <f>D18*I19</f>
        <v>211606.38232793522</v>
      </c>
      <c r="E19" s="83">
        <f>E18*I19</f>
        <v>206494.3759109312</v>
      </c>
      <c r="F19" s="83">
        <f t="shared" si="0"/>
        <v>211606.38232793522</v>
      </c>
      <c r="G19" s="84">
        <f aca="true" t="shared" si="2" ref="G19:G30">D19-E19</f>
        <v>5112.006417004013</v>
      </c>
      <c r="H19" s="145">
        <f t="shared" si="1"/>
        <v>3.46</v>
      </c>
      <c r="I19" s="67">
        <f>H19/H18</f>
        <v>0.3502024291497976</v>
      </c>
    </row>
    <row r="20" spans="1:9" s="67" customFormat="1" ht="15">
      <c r="A20" s="81" t="s">
        <v>18</v>
      </c>
      <c r="B20" s="139" t="s">
        <v>19</v>
      </c>
      <c r="C20" s="99">
        <v>1.69</v>
      </c>
      <c r="D20" s="83">
        <f>D18*I20</f>
        <v>103356.87460526315</v>
      </c>
      <c r="E20" s="83">
        <f>E18*I20</f>
        <v>100859.96973684212</v>
      </c>
      <c r="F20" s="83">
        <f t="shared" si="0"/>
        <v>103356.87460526315</v>
      </c>
      <c r="G20" s="84">
        <f t="shared" si="2"/>
        <v>2496.9048684210284</v>
      </c>
      <c r="H20" s="145">
        <f t="shared" si="1"/>
        <v>1.69</v>
      </c>
      <c r="I20" s="67">
        <f>H20/H18</f>
        <v>0.17105263157894737</v>
      </c>
    </row>
    <row r="21" spans="1:9" s="67" customFormat="1" ht="15">
      <c r="A21" s="81" t="s">
        <v>20</v>
      </c>
      <c r="B21" s="139" t="s">
        <v>21</v>
      </c>
      <c r="C21" s="99">
        <v>1.69</v>
      </c>
      <c r="D21" s="83">
        <f>D18*I21</f>
        <v>103356.87460526315</v>
      </c>
      <c r="E21" s="83">
        <f>E18*I21</f>
        <v>100859.96973684212</v>
      </c>
      <c r="F21" s="83">
        <f t="shared" si="0"/>
        <v>103356.87460526315</v>
      </c>
      <c r="G21" s="84">
        <f t="shared" si="2"/>
        <v>2496.9048684210284</v>
      </c>
      <c r="H21" s="145">
        <f t="shared" si="1"/>
        <v>1.69</v>
      </c>
      <c r="I21" s="67">
        <f>H21/H18</f>
        <v>0.17105263157894737</v>
      </c>
    </row>
    <row r="22" spans="1:9" s="67" customFormat="1" ht="15">
      <c r="A22" s="81" t="s">
        <v>22</v>
      </c>
      <c r="B22" s="139" t="s">
        <v>23</v>
      </c>
      <c r="C22" s="99">
        <v>3.04</v>
      </c>
      <c r="D22" s="83">
        <f>D18*I22</f>
        <v>185920.05846153846</v>
      </c>
      <c r="E22" s="83">
        <f>E18*I22</f>
        <v>181428.58461538464</v>
      </c>
      <c r="F22" s="83">
        <f t="shared" si="0"/>
        <v>185920.05846153846</v>
      </c>
      <c r="G22" s="84">
        <f>D22-E22</f>
        <v>4491.473846153822</v>
      </c>
      <c r="H22" s="145">
        <f t="shared" si="1"/>
        <v>3.04</v>
      </c>
      <c r="I22" s="67">
        <f>H22/H18</f>
        <v>0.3076923076923077</v>
      </c>
    </row>
    <row r="23" spans="1:8" s="67" customFormat="1" ht="15">
      <c r="A23" s="81" t="s">
        <v>25</v>
      </c>
      <c r="B23" s="86" t="s">
        <v>462</v>
      </c>
      <c r="C23" s="99">
        <v>130</v>
      </c>
      <c r="D23" s="83">
        <v>116999.91</v>
      </c>
      <c r="E23" s="83">
        <v>112016.43</v>
      </c>
      <c r="F23" s="83">
        <f t="shared" si="0"/>
        <v>116999.91</v>
      </c>
      <c r="G23" s="84">
        <f>D23-E23</f>
        <v>4983.4800000000105</v>
      </c>
      <c r="H23" s="145">
        <f t="shared" si="1"/>
        <v>130</v>
      </c>
    </row>
    <row r="24" spans="1:7" s="39" customFormat="1" ht="14.25">
      <c r="A24" s="41" t="s">
        <v>27</v>
      </c>
      <c r="B24" s="140" t="s">
        <v>161</v>
      </c>
      <c r="C24" s="141">
        <v>1902.11</v>
      </c>
      <c r="D24" s="87"/>
      <c r="E24" s="87"/>
      <c r="F24" s="87">
        <f t="shared" si="0"/>
        <v>0</v>
      </c>
      <c r="G24" s="77">
        <f t="shared" si="2"/>
        <v>0</v>
      </c>
    </row>
    <row r="25" spans="1:7" s="39" customFormat="1" ht="14.25">
      <c r="A25" s="41" t="s">
        <v>29</v>
      </c>
      <c r="B25" s="140" t="s">
        <v>116</v>
      </c>
      <c r="C25" s="141">
        <v>1.86</v>
      </c>
      <c r="D25" s="87">
        <v>105164.76</v>
      </c>
      <c r="E25" s="87">
        <v>102459.7</v>
      </c>
      <c r="F25" s="87">
        <f>F41</f>
        <v>148702.717</v>
      </c>
      <c r="G25" s="77">
        <f t="shared" si="2"/>
        <v>2705.0599999999977</v>
      </c>
    </row>
    <row r="26" spans="1:7" s="39" customFormat="1" ht="14.25">
      <c r="A26" s="41" t="s">
        <v>31</v>
      </c>
      <c r="B26" s="134" t="s">
        <v>36</v>
      </c>
      <c r="C26" s="135"/>
      <c r="D26" s="77">
        <f>SUM(D27:D30)</f>
        <v>2323264.13</v>
      </c>
      <c r="E26" s="77">
        <f>SUM(E27:E30)</f>
        <v>2267873.56</v>
      </c>
      <c r="F26" s="77">
        <f>SUM(F27:F30)</f>
        <v>2323264.13</v>
      </c>
      <c r="G26" s="77">
        <f t="shared" si="2"/>
        <v>55390.56999999983</v>
      </c>
    </row>
    <row r="27" spans="1:7" ht="15">
      <c r="A27" s="34" t="s">
        <v>416</v>
      </c>
      <c r="B27" s="34" t="s">
        <v>165</v>
      </c>
      <c r="C27" s="285">
        <v>6</v>
      </c>
      <c r="D27" s="287">
        <v>55815.84</v>
      </c>
      <c r="E27" s="287">
        <v>54370.96</v>
      </c>
      <c r="F27" s="287">
        <f>D27</f>
        <v>55815.84</v>
      </c>
      <c r="G27" s="84">
        <f t="shared" si="2"/>
        <v>1444.8799999999974</v>
      </c>
    </row>
    <row r="28" spans="1:7" ht="15">
      <c r="A28" s="34" t="s">
        <v>417</v>
      </c>
      <c r="B28" s="34" t="s">
        <v>137</v>
      </c>
      <c r="C28" s="285">
        <v>57.08</v>
      </c>
      <c r="D28" s="287">
        <v>748771.27</v>
      </c>
      <c r="E28" s="287">
        <v>731799.26</v>
      </c>
      <c r="F28" s="287">
        <f>D28</f>
        <v>748771.27</v>
      </c>
      <c r="G28" s="84">
        <f t="shared" si="2"/>
        <v>16972.01000000001</v>
      </c>
    </row>
    <row r="29" spans="1:7" ht="15">
      <c r="A29" s="34" t="s">
        <v>418</v>
      </c>
      <c r="B29" s="139" t="s">
        <v>340</v>
      </c>
      <c r="C29" s="286">
        <v>0</v>
      </c>
      <c r="D29" s="287">
        <v>0</v>
      </c>
      <c r="E29" s="287">
        <v>0</v>
      </c>
      <c r="F29" s="287">
        <f>D29</f>
        <v>0</v>
      </c>
      <c r="G29" s="84">
        <f t="shared" si="2"/>
        <v>0</v>
      </c>
    </row>
    <row r="30" spans="1:7" ht="15">
      <c r="A30" s="34" t="s">
        <v>419</v>
      </c>
      <c r="B30" s="139" t="s">
        <v>43</v>
      </c>
      <c r="C30" s="285">
        <v>2638.8</v>
      </c>
      <c r="D30" s="287">
        <v>1518677.02</v>
      </c>
      <c r="E30" s="287">
        <v>1481703.34</v>
      </c>
      <c r="F30" s="287">
        <f>D30</f>
        <v>1518677.02</v>
      </c>
      <c r="G30" s="84">
        <f t="shared" si="2"/>
        <v>36973.679999999935</v>
      </c>
    </row>
    <row r="31" spans="1:7" ht="5.25" customHeight="1">
      <c r="A31" s="168"/>
      <c r="B31" s="168"/>
      <c r="C31" s="169"/>
      <c r="D31" s="170"/>
      <c r="E31" s="170"/>
      <c r="F31" s="170"/>
      <c r="G31" s="170"/>
    </row>
    <row r="32" spans="1:7" ht="17.25" customHeight="1" thickBot="1">
      <c r="A32" s="446" t="s">
        <v>294</v>
      </c>
      <c r="B32" s="447"/>
      <c r="C32" s="447"/>
      <c r="D32" s="448"/>
      <c r="E32" s="448"/>
      <c r="F32" s="448"/>
      <c r="G32" s="170"/>
    </row>
    <row r="33" spans="1:9" s="67" customFormat="1" ht="15.75" thickBot="1">
      <c r="A33" s="455" t="s">
        <v>413</v>
      </c>
      <c r="B33" s="456"/>
      <c r="C33" s="456"/>
      <c r="D33" s="65">
        <v>813305.46</v>
      </c>
      <c r="E33" s="162"/>
      <c r="F33" s="162"/>
      <c r="G33" s="162"/>
      <c r="H33" s="62"/>
      <c r="I33" s="62"/>
    </row>
    <row r="34" spans="1:9" s="67" customFormat="1" ht="6" customHeight="1" thickBot="1">
      <c r="A34" s="68"/>
      <c r="B34" s="68"/>
      <c r="C34" s="163"/>
      <c r="D34" s="162"/>
      <c r="E34" s="162"/>
      <c r="F34" s="162"/>
      <c r="G34" s="162"/>
      <c r="H34" s="62"/>
      <c r="I34" s="62"/>
    </row>
    <row r="35" spans="1:9" s="67" customFormat="1" ht="15.75" thickBot="1">
      <c r="A35" s="63" t="s">
        <v>414</v>
      </c>
      <c r="B35" s="64"/>
      <c r="C35" s="164"/>
      <c r="D35" s="165"/>
      <c r="E35" s="165"/>
      <c r="F35" s="165"/>
      <c r="G35" s="161">
        <f>G14</f>
        <v>34925.52</v>
      </c>
      <c r="H35" s="62"/>
      <c r="I35" s="62"/>
    </row>
    <row r="36" spans="1:13" s="67" customFormat="1" ht="15.75" thickBot="1">
      <c r="A36" s="63" t="s">
        <v>415</v>
      </c>
      <c r="B36" s="64"/>
      <c r="C36" s="164"/>
      <c r="D36" s="165"/>
      <c r="E36" s="165"/>
      <c r="F36" s="165"/>
      <c r="G36" s="161">
        <f>G15+E25-F25</f>
        <v>365752.1698999999</v>
      </c>
      <c r="H36" s="62"/>
      <c r="I36" s="62"/>
      <c r="M36" s="145"/>
    </row>
    <row r="37" spans="1:9" s="67" customFormat="1" ht="15">
      <c r="A37" s="68"/>
      <c r="B37" s="68"/>
      <c r="C37" s="163"/>
      <c r="D37" s="162"/>
      <c r="E37" s="162"/>
      <c r="F37" s="162"/>
      <c r="G37" s="162"/>
      <c r="H37" s="62"/>
      <c r="I37" s="62"/>
    </row>
    <row r="38" spans="1:9" ht="28.5" customHeight="1">
      <c r="A38" s="444" t="s">
        <v>44</v>
      </c>
      <c r="B38" s="444"/>
      <c r="C38" s="444"/>
      <c r="D38" s="444"/>
      <c r="E38" s="444"/>
      <c r="F38" s="444"/>
      <c r="G38" s="444"/>
      <c r="H38" s="444"/>
      <c r="I38" s="444"/>
    </row>
    <row r="39" ht="6.75" customHeight="1"/>
    <row r="40" spans="1:7" s="171" customFormat="1" ht="28.5" customHeight="1">
      <c r="A40" s="105" t="s">
        <v>11</v>
      </c>
      <c r="B40" s="471" t="s">
        <v>45</v>
      </c>
      <c r="C40" s="472"/>
      <c r="D40" s="105" t="s">
        <v>163</v>
      </c>
      <c r="E40" s="105" t="s">
        <v>162</v>
      </c>
      <c r="F40" s="460" t="s">
        <v>46</v>
      </c>
      <c r="G40" s="461"/>
    </row>
    <row r="41" spans="1:7" s="114" customFormat="1" ht="12.75" customHeight="1">
      <c r="A41" s="109" t="s">
        <v>47</v>
      </c>
      <c r="B41" s="473" t="s">
        <v>111</v>
      </c>
      <c r="C41" s="474"/>
      <c r="D41" s="172"/>
      <c r="E41" s="172"/>
      <c r="F41" s="467">
        <f>SUM(F42:G49)</f>
        <v>148702.717</v>
      </c>
      <c r="G41" s="468"/>
    </row>
    <row r="42" spans="1:7" s="114" customFormat="1" ht="24" customHeight="1">
      <c r="A42" s="34" t="s">
        <v>16</v>
      </c>
      <c r="B42" s="440" t="s">
        <v>324</v>
      </c>
      <c r="C42" s="466"/>
      <c r="D42" s="354"/>
      <c r="E42" s="381" t="s">
        <v>221</v>
      </c>
      <c r="F42" s="464">
        <v>3970</v>
      </c>
      <c r="G42" s="465"/>
    </row>
    <row r="43" spans="1:7" s="114" customFormat="1" ht="30.75" customHeight="1">
      <c r="A43" s="34" t="s">
        <v>18</v>
      </c>
      <c r="B43" s="440" t="s">
        <v>324</v>
      </c>
      <c r="C43" s="466"/>
      <c r="D43" s="344"/>
      <c r="E43" s="344" t="s">
        <v>221</v>
      </c>
      <c r="F43" s="464">
        <v>4420</v>
      </c>
      <c r="G43" s="465"/>
    </row>
    <row r="44" spans="1:7" s="114" customFormat="1" ht="17.25" customHeight="1">
      <c r="A44" s="34" t="s">
        <v>20</v>
      </c>
      <c r="B44" s="462" t="s">
        <v>538</v>
      </c>
      <c r="C44" s="463"/>
      <c r="D44" s="344" t="s">
        <v>164</v>
      </c>
      <c r="E44" s="344">
        <v>1</v>
      </c>
      <c r="F44" s="464">
        <v>37020</v>
      </c>
      <c r="G44" s="465"/>
    </row>
    <row r="45" spans="1:7" s="114" customFormat="1" ht="17.25" customHeight="1">
      <c r="A45" s="34" t="s">
        <v>22</v>
      </c>
      <c r="B45" s="462" t="s">
        <v>539</v>
      </c>
      <c r="C45" s="463"/>
      <c r="D45" s="381" t="s">
        <v>164</v>
      </c>
      <c r="E45" s="381">
        <v>1</v>
      </c>
      <c r="F45" s="464">
        <v>4970</v>
      </c>
      <c r="G45" s="465"/>
    </row>
    <row r="46" spans="1:7" s="114" customFormat="1" ht="12.75" customHeight="1">
      <c r="A46" s="34" t="s">
        <v>24</v>
      </c>
      <c r="B46" s="462" t="s">
        <v>540</v>
      </c>
      <c r="C46" s="463"/>
      <c r="D46" s="381" t="s">
        <v>216</v>
      </c>
      <c r="E46" s="381">
        <v>0.03</v>
      </c>
      <c r="F46" s="464">
        <v>35142.5</v>
      </c>
      <c r="G46" s="465"/>
    </row>
    <row r="47" spans="1:7" s="114" customFormat="1" ht="12.75" customHeight="1">
      <c r="A47" s="34" t="s">
        <v>103</v>
      </c>
      <c r="B47" s="462" t="s">
        <v>541</v>
      </c>
      <c r="C47" s="463"/>
      <c r="D47" s="381" t="s">
        <v>542</v>
      </c>
      <c r="E47" s="394">
        <v>0.012</v>
      </c>
      <c r="F47" s="464">
        <v>48155.62</v>
      </c>
      <c r="G47" s="465"/>
    </row>
    <row r="48" spans="1:7" s="114" customFormat="1" ht="12.75" customHeight="1">
      <c r="A48" s="34" t="s">
        <v>103</v>
      </c>
      <c r="B48" s="449" t="s">
        <v>814</v>
      </c>
      <c r="C48" s="450"/>
      <c r="D48" s="151" t="s">
        <v>391</v>
      </c>
      <c r="E48" s="174">
        <v>5</v>
      </c>
      <c r="F48" s="469">
        <v>14000</v>
      </c>
      <c r="G48" s="470"/>
    </row>
    <row r="49" spans="1:7" s="114" customFormat="1" ht="12.75" customHeight="1">
      <c r="A49" s="34" t="s">
        <v>104</v>
      </c>
      <c r="B49" s="477" t="s">
        <v>188</v>
      </c>
      <c r="C49" s="478"/>
      <c r="D49" s="173"/>
      <c r="E49" s="173"/>
      <c r="F49" s="469">
        <f>E25*1%</f>
        <v>1024.597</v>
      </c>
      <c r="G49" s="470"/>
    </row>
    <row r="50" spans="1:7" s="67" customFormat="1" ht="15">
      <c r="A50" s="34"/>
      <c r="C50" s="145"/>
      <c r="D50" s="145"/>
      <c r="E50" s="145"/>
      <c r="F50" s="145"/>
      <c r="G50" s="145"/>
    </row>
    <row r="51" spans="1:7" s="67" customFormat="1" ht="15">
      <c r="A51" s="67" t="s">
        <v>55</v>
      </c>
      <c r="C51" s="145" t="s">
        <v>49</v>
      </c>
      <c r="D51" s="145"/>
      <c r="E51" s="145"/>
      <c r="F51" s="145" t="s">
        <v>90</v>
      </c>
      <c r="G51" s="145"/>
    </row>
    <row r="52" spans="3:7" s="67" customFormat="1" ht="15">
      <c r="C52" s="145"/>
      <c r="D52" s="145"/>
      <c r="E52" s="145"/>
      <c r="F52" s="160" t="s">
        <v>537</v>
      </c>
      <c r="G52" s="145"/>
    </row>
    <row r="53" spans="1:7" s="67" customFormat="1" ht="15">
      <c r="A53" s="67" t="s">
        <v>50</v>
      </c>
      <c r="C53" s="145"/>
      <c r="D53" s="145"/>
      <c r="E53" s="145"/>
      <c r="F53" s="145"/>
      <c r="G53" s="145"/>
    </row>
    <row r="54" spans="3:7" s="67" customFormat="1" ht="11.25" customHeight="1">
      <c r="C54" s="175" t="s">
        <v>51</v>
      </c>
      <c r="D54" s="145"/>
      <c r="E54" s="175"/>
      <c r="F54" s="175"/>
      <c r="G54" s="175"/>
    </row>
    <row r="55" spans="3:7" s="67" customFormat="1" ht="15">
      <c r="C55" s="145"/>
      <c r="D55" s="145"/>
      <c r="E55" s="145"/>
      <c r="F55" s="145"/>
      <c r="G55" s="145"/>
    </row>
    <row r="56" spans="3:7" s="67" customFormat="1" ht="15">
      <c r="C56" s="145"/>
      <c r="D56" s="145"/>
      <c r="E56" s="145"/>
      <c r="F56" s="145"/>
      <c r="G56" s="145"/>
    </row>
  </sheetData>
  <sheetProtection/>
  <mergeCells count="30">
    <mergeCell ref="B48:C48"/>
    <mergeCell ref="F46:G46"/>
    <mergeCell ref="A32:F32"/>
    <mergeCell ref="A11:I11"/>
    <mergeCell ref="B49:C49"/>
    <mergeCell ref="F49:G49"/>
    <mergeCell ref="F43:G43"/>
    <mergeCell ref="F44:G44"/>
    <mergeCell ref="B43:C43"/>
    <mergeCell ref="B44:C44"/>
    <mergeCell ref="B46:C46"/>
    <mergeCell ref="F48:G48"/>
    <mergeCell ref="A33:C33"/>
    <mergeCell ref="B40:C40"/>
    <mergeCell ref="B41:C41"/>
    <mergeCell ref="A1:I1"/>
    <mergeCell ref="A2:I2"/>
    <mergeCell ref="A5:I5"/>
    <mergeCell ref="A10:I10"/>
    <mergeCell ref="A3:K3"/>
    <mergeCell ref="F40:G40"/>
    <mergeCell ref="A12:I12"/>
    <mergeCell ref="B45:C45"/>
    <mergeCell ref="B47:C47"/>
    <mergeCell ref="F45:G45"/>
    <mergeCell ref="F47:G47"/>
    <mergeCell ref="B42:C42"/>
    <mergeCell ref="A38:I38"/>
    <mergeCell ref="F41:G41"/>
    <mergeCell ref="F42:G42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K57"/>
  <sheetViews>
    <sheetView zoomScalePageLayoutView="0" workbookViewId="0" topLeftCell="A40">
      <selection activeCell="F49" sqref="F49:G49"/>
    </sheetView>
  </sheetViews>
  <sheetFormatPr defaultColWidth="9.140625" defaultRowHeight="15" outlineLevelCol="1"/>
  <cols>
    <col min="1" max="1" width="4.7109375" style="35" customWidth="1"/>
    <col min="2" max="2" width="49.28125" style="35" customWidth="1"/>
    <col min="3" max="3" width="12.8515625" style="35" customWidth="1"/>
    <col min="4" max="4" width="13.140625" style="35" bestFit="1" customWidth="1"/>
    <col min="5" max="5" width="13.140625" style="35" customWidth="1"/>
    <col min="6" max="6" width="13.8515625" style="35" customWidth="1"/>
    <col min="7" max="7" width="13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8.2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6.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7.5" customHeight="1"/>
    <row r="7" spans="1:6" s="67" customFormat="1" ht="16.5" customHeight="1">
      <c r="A7" s="67" t="s">
        <v>2</v>
      </c>
      <c r="F7" s="126" t="s">
        <v>71</v>
      </c>
    </row>
    <row r="8" spans="1:11" s="67" customFormat="1" ht="15">
      <c r="A8" s="67" t="s">
        <v>3</v>
      </c>
      <c r="F8" s="291" t="s">
        <v>348</v>
      </c>
      <c r="I8" s="199">
        <v>1412.2</v>
      </c>
      <c r="J8" s="307">
        <v>2724.3</v>
      </c>
      <c r="K8" s="125">
        <f>I8+J8</f>
        <v>4136.5</v>
      </c>
    </row>
    <row r="9" spans="2:6" s="67" customFormat="1" ht="17.25" customHeight="1">
      <c r="B9" s="67" t="s">
        <v>507</v>
      </c>
      <c r="F9" s="291" t="s">
        <v>508</v>
      </c>
    </row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'[2]Калинина 12'!$G$37</f>
        <v>-154266.30000000002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'[2]Калинина 12'!$G$38</f>
        <v>-1105446.8095999998</v>
      </c>
      <c r="H15" s="62"/>
      <c r="I15" s="62"/>
    </row>
    <row r="16" s="67" customFormat="1" ht="8.2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67" customFormat="1" ht="15">
      <c r="A18" s="75" t="s">
        <v>14</v>
      </c>
      <c r="B18" s="41" t="s">
        <v>15</v>
      </c>
      <c r="C18" s="135">
        <f>C19+C20+C21+C22+C23</f>
        <v>13.379999999999999</v>
      </c>
      <c r="D18" s="76">
        <v>450204</v>
      </c>
      <c r="E18" s="76">
        <v>452799.36</v>
      </c>
      <c r="F18" s="76">
        <f aca="true" t="shared" si="0" ref="F18:F26">D18</f>
        <v>450204</v>
      </c>
      <c r="G18" s="77">
        <f aca="true" t="shared" si="1" ref="G18:G23">D18-E18</f>
        <v>-2595.359999999986</v>
      </c>
      <c r="H18" s="145">
        <f aca="true" t="shared" si="2" ref="H18:H23">C18</f>
        <v>13.379999999999999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116420.466367713</v>
      </c>
      <c r="E19" s="83">
        <f>E18*I19</f>
        <v>117091.6132735426</v>
      </c>
      <c r="F19" s="83">
        <f t="shared" si="0"/>
        <v>116420.466367713</v>
      </c>
      <c r="G19" s="84">
        <f t="shared" si="1"/>
        <v>-671.1469058296061</v>
      </c>
      <c r="H19" s="145">
        <f t="shared" si="2"/>
        <v>3.46</v>
      </c>
      <c r="I19" s="67">
        <f>H19/H18</f>
        <v>0.2585949177877429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56864.33183856503</v>
      </c>
      <c r="E20" s="83">
        <f>E18*I20</f>
        <v>57192.14636771301</v>
      </c>
      <c r="F20" s="83">
        <f t="shared" si="0"/>
        <v>56864.33183856503</v>
      </c>
      <c r="G20" s="84">
        <f t="shared" si="1"/>
        <v>-327.8145291479814</v>
      </c>
      <c r="H20" s="145">
        <f t="shared" si="2"/>
        <v>1.69</v>
      </c>
      <c r="I20" s="67">
        <f>H20/H18</f>
        <v>0.12630792227204785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56864.33183856503</v>
      </c>
      <c r="E21" s="83">
        <f>E18*I21</f>
        <v>57192.14636771301</v>
      </c>
      <c r="F21" s="83">
        <f t="shared" si="0"/>
        <v>56864.33183856503</v>
      </c>
      <c r="G21" s="84">
        <f t="shared" si="1"/>
        <v>-327.8145291479814</v>
      </c>
      <c r="H21" s="145">
        <f t="shared" si="2"/>
        <v>1.69</v>
      </c>
      <c r="I21" s="67">
        <f>H21/H18</f>
        <v>0.12630792227204785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102288.50224215248</v>
      </c>
      <c r="E22" s="83">
        <f>E18*I22</f>
        <v>102878.1804484305</v>
      </c>
      <c r="F22" s="83">
        <f t="shared" si="0"/>
        <v>102288.50224215248</v>
      </c>
      <c r="G22" s="84">
        <f t="shared" si="1"/>
        <v>-589.6782062780258</v>
      </c>
      <c r="H22" s="145">
        <f t="shared" si="2"/>
        <v>3.04</v>
      </c>
      <c r="I22" s="67">
        <f>H22/H18</f>
        <v>0.22720478325859494</v>
      </c>
    </row>
    <row r="23" spans="1:9" s="67" customFormat="1" ht="15">
      <c r="A23" s="81" t="s">
        <v>24</v>
      </c>
      <c r="B23" s="34" t="s">
        <v>143</v>
      </c>
      <c r="C23" s="99">
        <v>3.5</v>
      </c>
      <c r="D23" s="83">
        <f>D18*I23</f>
        <v>117766.36771300448</v>
      </c>
      <c r="E23" s="83">
        <f>E18*I23</f>
        <v>118445.27354260089</v>
      </c>
      <c r="F23" s="83">
        <f>D23</f>
        <v>117766.36771300448</v>
      </c>
      <c r="G23" s="84">
        <f t="shared" si="1"/>
        <v>-678.905829596406</v>
      </c>
      <c r="H23" s="145">
        <f t="shared" si="2"/>
        <v>3.5</v>
      </c>
      <c r="I23" s="67">
        <f>H23/H18</f>
        <v>0.2615844544095665</v>
      </c>
    </row>
    <row r="24" spans="1:7" ht="15">
      <c r="A24" s="41" t="s">
        <v>25</v>
      </c>
      <c r="B24" s="140" t="s">
        <v>136</v>
      </c>
      <c r="C24" s="97">
        <v>0</v>
      </c>
      <c r="D24" s="77">
        <v>0</v>
      </c>
      <c r="E24" s="77">
        <v>73.48</v>
      </c>
      <c r="F24" s="77">
        <v>0</v>
      </c>
      <c r="G24" s="77">
        <f aca="true" t="shared" si="3" ref="G24:G33">D24-E24</f>
        <v>-73.48</v>
      </c>
    </row>
    <row r="25" spans="1:7" ht="15">
      <c r="A25" s="41" t="s">
        <v>27</v>
      </c>
      <c r="B25" s="140" t="s">
        <v>28</v>
      </c>
      <c r="C25" s="97">
        <v>0</v>
      </c>
      <c r="D25" s="77">
        <v>0</v>
      </c>
      <c r="E25" s="77">
        <v>0</v>
      </c>
      <c r="F25" s="77">
        <f t="shared" si="0"/>
        <v>0</v>
      </c>
      <c r="G25" s="77">
        <f t="shared" si="3"/>
        <v>0</v>
      </c>
    </row>
    <row r="26" spans="1:7" ht="15">
      <c r="A26" s="41" t="s">
        <v>29</v>
      </c>
      <c r="B26" s="140" t="s">
        <v>161</v>
      </c>
      <c r="C26" s="141" t="s">
        <v>297</v>
      </c>
      <c r="D26" s="77">
        <v>0</v>
      </c>
      <c r="E26" s="77">
        <v>0</v>
      </c>
      <c r="F26" s="77">
        <f t="shared" si="0"/>
        <v>0</v>
      </c>
      <c r="G26" s="77">
        <f t="shared" si="3"/>
        <v>0</v>
      </c>
    </row>
    <row r="27" spans="1:7" ht="15">
      <c r="A27" s="41" t="s">
        <v>31</v>
      </c>
      <c r="B27" s="140" t="s">
        <v>116</v>
      </c>
      <c r="C27" s="97">
        <v>1.86</v>
      </c>
      <c r="D27" s="77">
        <v>60806.4</v>
      </c>
      <c r="E27" s="77">
        <v>57988.35</v>
      </c>
      <c r="F27" s="87">
        <f>F45</f>
        <v>59599.8835</v>
      </c>
      <c r="G27" s="77">
        <f t="shared" si="3"/>
        <v>2818.050000000003</v>
      </c>
    </row>
    <row r="28" spans="1:7" ht="15">
      <c r="A28" s="41" t="s">
        <v>33</v>
      </c>
      <c r="B28" s="134" t="s">
        <v>34</v>
      </c>
      <c r="C28" s="46">
        <v>0</v>
      </c>
      <c r="D28" s="77">
        <v>0</v>
      </c>
      <c r="E28" s="77">
        <v>3.53</v>
      </c>
      <c r="F28" s="87">
        <v>0</v>
      </c>
      <c r="G28" s="77">
        <f t="shared" si="3"/>
        <v>-3.53</v>
      </c>
    </row>
    <row r="29" spans="1:7" ht="15">
      <c r="A29" s="41" t="s">
        <v>35</v>
      </c>
      <c r="B29" s="134" t="s">
        <v>36</v>
      </c>
      <c r="C29" s="97"/>
      <c r="D29" s="77">
        <f>SUM(D30:D33)</f>
        <v>1389005.18</v>
      </c>
      <c r="E29" s="77">
        <f>SUM(E30:E33)</f>
        <v>1293192.01</v>
      </c>
      <c r="F29" s="77">
        <f>SUM(F30:F33)</f>
        <v>1389005.18</v>
      </c>
      <c r="G29" s="77">
        <f t="shared" si="3"/>
        <v>95813.16999999993</v>
      </c>
    </row>
    <row r="30" spans="1:7" ht="15">
      <c r="A30" s="34" t="s">
        <v>37</v>
      </c>
      <c r="B30" s="34" t="s">
        <v>165</v>
      </c>
      <c r="C30" s="285">
        <v>6</v>
      </c>
      <c r="D30" s="84">
        <v>7830.21</v>
      </c>
      <c r="E30" s="84">
        <v>7591.72</v>
      </c>
      <c r="F30" s="84">
        <f>D30</f>
        <v>7830.21</v>
      </c>
      <c r="G30" s="84">
        <f t="shared" si="3"/>
        <v>238.48999999999978</v>
      </c>
    </row>
    <row r="31" spans="1:7" ht="15">
      <c r="A31" s="34" t="s">
        <v>39</v>
      </c>
      <c r="B31" s="34" t="s">
        <v>137</v>
      </c>
      <c r="C31" s="285">
        <v>57.08</v>
      </c>
      <c r="D31" s="84">
        <v>373720.61</v>
      </c>
      <c r="E31" s="84">
        <v>329799.03</v>
      </c>
      <c r="F31" s="84">
        <f>D31</f>
        <v>373720.61</v>
      </c>
      <c r="G31" s="84">
        <f t="shared" si="3"/>
        <v>43921.57999999996</v>
      </c>
    </row>
    <row r="32" spans="1:7" ht="15">
      <c r="A32" s="34" t="s">
        <v>42</v>
      </c>
      <c r="B32" s="34" t="s">
        <v>40</v>
      </c>
      <c r="C32" s="286">
        <v>0</v>
      </c>
      <c r="D32" s="84">
        <v>0</v>
      </c>
      <c r="E32" s="84">
        <v>0</v>
      </c>
      <c r="F32" s="84">
        <f>D32</f>
        <v>0</v>
      </c>
      <c r="G32" s="84">
        <f t="shared" si="3"/>
        <v>0</v>
      </c>
    </row>
    <row r="33" spans="1:9" ht="15">
      <c r="A33" s="34" t="s">
        <v>41</v>
      </c>
      <c r="B33" s="34" t="s">
        <v>43</v>
      </c>
      <c r="C33" s="285">
        <v>2638.8</v>
      </c>
      <c r="D33" s="84">
        <v>1007454.36</v>
      </c>
      <c r="E33" s="84">
        <v>955801.26</v>
      </c>
      <c r="F33" s="84">
        <f>D33</f>
        <v>1007454.36</v>
      </c>
      <c r="G33" s="84">
        <f t="shared" si="3"/>
        <v>51653.09999999998</v>
      </c>
      <c r="H33" s="101"/>
      <c r="I33" s="101"/>
    </row>
    <row r="34" spans="1:9" ht="15.75" thickBot="1">
      <c r="A34" s="446" t="s">
        <v>294</v>
      </c>
      <c r="B34" s="447"/>
      <c r="C34" s="447"/>
      <c r="D34" s="448"/>
      <c r="E34" s="448"/>
      <c r="F34" s="448"/>
      <c r="G34" s="170"/>
      <c r="H34" s="101"/>
      <c r="I34" s="101"/>
    </row>
    <row r="35" spans="1:10" s="102" customFormat="1" ht="14.25" thickBot="1">
      <c r="A35" s="455" t="s">
        <v>413</v>
      </c>
      <c r="B35" s="456"/>
      <c r="C35" s="456"/>
      <c r="D35" s="65">
        <v>1126135.96</v>
      </c>
      <c r="E35" s="66"/>
      <c r="F35" s="66"/>
      <c r="G35" s="66"/>
      <c r="H35" s="62"/>
      <c r="I35" s="62"/>
      <c r="J35" s="101"/>
    </row>
    <row r="36" spans="1:9" s="67" customFormat="1" ht="15.75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414</v>
      </c>
      <c r="B37" s="64"/>
      <c r="C37" s="64"/>
      <c r="D37" s="69"/>
      <c r="E37" s="70"/>
      <c r="F37" s="70"/>
      <c r="G37" s="144">
        <f>G14+E28-F28</f>
        <v>-154262.77000000002</v>
      </c>
      <c r="H37" s="62"/>
      <c r="I37" s="62"/>
    </row>
    <row r="38" spans="1:9" s="67" customFormat="1" ht="15.75" thickBot="1">
      <c r="A38" s="63" t="s">
        <v>415</v>
      </c>
      <c r="B38" s="64"/>
      <c r="C38" s="64"/>
      <c r="D38" s="69"/>
      <c r="E38" s="70"/>
      <c r="F38" s="70"/>
      <c r="G38" s="144">
        <f>G15+E27-F27</f>
        <v>-1107058.3431</v>
      </c>
      <c r="H38" s="62"/>
      <c r="I38" s="62"/>
    </row>
    <row r="39" spans="1:9" s="67" customFormat="1" ht="15">
      <c r="A39" s="516" t="s">
        <v>144</v>
      </c>
      <c r="B39" s="516"/>
      <c r="C39" s="68"/>
      <c r="D39" s="40"/>
      <c r="E39" s="66"/>
      <c r="F39" s="66"/>
      <c r="G39" s="40"/>
      <c r="H39" s="62"/>
      <c r="I39" s="62"/>
    </row>
    <row r="40" spans="1:9" s="67" customFormat="1" ht="15">
      <c r="A40" s="517" t="s">
        <v>145</v>
      </c>
      <c r="B40" s="518"/>
      <c r="C40" s="311" t="s">
        <v>146</v>
      </c>
      <c r="D40" s="311" t="s">
        <v>147</v>
      </c>
      <c r="E40" s="312" t="s">
        <v>148</v>
      </c>
      <c r="F40" s="313" t="s">
        <v>149</v>
      </c>
      <c r="G40" s="312" t="s">
        <v>150</v>
      </c>
      <c r="H40" s="62"/>
      <c r="I40" s="62"/>
    </row>
    <row r="41" spans="1:9" s="67" customFormat="1" ht="15">
      <c r="A41" s="519"/>
      <c r="B41" s="520"/>
      <c r="C41" s="316">
        <v>1412.2</v>
      </c>
      <c r="D41" s="314">
        <f>E41/C41/12</f>
        <v>15.240001416229996</v>
      </c>
      <c r="E41" s="309">
        <v>258263.16</v>
      </c>
      <c r="F41" s="315">
        <v>253320.46</v>
      </c>
      <c r="G41" s="314">
        <f>E41-F41</f>
        <v>4942.700000000012</v>
      </c>
      <c r="H41" s="195"/>
      <c r="I41" s="195"/>
    </row>
    <row r="42" spans="1:9" s="67" customFormat="1" ht="36" customHeight="1">
      <c r="A42" s="538" t="s">
        <v>44</v>
      </c>
      <c r="B42" s="539"/>
      <c r="C42" s="539"/>
      <c r="D42" s="539"/>
      <c r="E42" s="539"/>
      <c r="F42" s="539"/>
      <c r="G42" s="539"/>
      <c r="H42" s="196"/>
      <c r="I42" s="196"/>
    </row>
    <row r="43" ht="13.5" customHeight="1"/>
    <row r="44" spans="1:9" ht="28.5">
      <c r="A44" s="105" t="s">
        <v>11</v>
      </c>
      <c r="B44" s="471" t="s">
        <v>45</v>
      </c>
      <c r="C44" s="484"/>
      <c r="D44" s="105" t="s">
        <v>163</v>
      </c>
      <c r="E44" s="105" t="s">
        <v>162</v>
      </c>
      <c r="F44" s="471" t="s">
        <v>46</v>
      </c>
      <c r="G44" s="484"/>
      <c r="H44" s="171"/>
      <c r="I44" s="171"/>
    </row>
    <row r="45" spans="1:9" s="171" customFormat="1" ht="15">
      <c r="A45" s="109" t="s">
        <v>47</v>
      </c>
      <c r="B45" s="473" t="s">
        <v>111</v>
      </c>
      <c r="C45" s="491"/>
      <c r="D45" s="110"/>
      <c r="E45" s="110"/>
      <c r="F45" s="496">
        <f>SUM(F46:L50)</f>
        <v>59599.8835</v>
      </c>
      <c r="G45" s="483"/>
      <c r="H45" s="114"/>
      <c r="I45" s="114"/>
    </row>
    <row r="46" spans="1:7" ht="12.75" customHeight="1">
      <c r="A46" s="34" t="s">
        <v>16</v>
      </c>
      <c r="B46" s="462" t="s">
        <v>573</v>
      </c>
      <c r="C46" s="498"/>
      <c r="D46" s="337" t="s">
        <v>164</v>
      </c>
      <c r="E46" s="342">
        <v>1</v>
      </c>
      <c r="F46" s="482">
        <v>37020</v>
      </c>
      <c r="G46" s="482"/>
    </row>
    <row r="47" spans="1:7" ht="12.75" customHeight="1">
      <c r="A47" s="34" t="s">
        <v>18</v>
      </c>
      <c r="B47" s="462" t="s">
        <v>404</v>
      </c>
      <c r="C47" s="498"/>
      <c r="D47" s="337" t="s">
        <v>391</v>
      </c>
      <c r="E47" s="342">
        <v>4</v>
      </c>
      <c r="F47" s="482">
        <v>8000</v>
      </c>
      <c r="G47" s="482"/>
    </row>
    <row r="48" spans="1:7" ht="12.75" customHeight="1">
      <c r="A48" s="34" t="s">
        <v>20</v>
      </c>
      <c r="B48" s="449" t="s">
        <v>814</v>
      </c>
      <c r="C48" s="641"/>
      <c r="D48" s="118" t="s">
        <v>391</v>
      </c>
      <c r="E48" s="152">
        <v>5</v>
      </c>
      <c r="F48" s="490">
        <v>14000</v>
      </c>
      <c r="G48" s="490"/>
    </row>
    <row r="49" spans="1:7" ht="12.75" customHeight="1">
      <c r="A49" s="34" t="s">
        <v>22</v>
      </c>
      <c r="B49" s="462"/>
      <c r="C49" s="498"/>
      <c r="D49" s="118"/>
      <c r="E49" s="152"/>
      <c r="F49" s="490"/>
      <c r="G49" s="490"/>
    </row>
    <row r="50" spans="1:7" ht="12.75" customHeight="1">
      <c r="A50" s="34" t="s">
        <v>24</v>
      </c>
      <c r="B50" s="148" t="s">
        <v>188</v>
      </c>
      <c r="C50" s="149"/>
      <c r="D50" s="118"/>
      <c r="E50" s="118"/>
      <c r="F50" s="495">
        <f>E27*1%</f>
        <v>579.8835</v>
      </c>
      <c r="G50" s="495"/>
    </row>
    <row r="51" spans="1:9" ht="12.75" customHeight="1">
      <c r="A51" s="67"/>
      <c r="B51" s="67"/>
      <c r="C51" s="67"/>
      <c r="D51" s="67"/>
      <c r="E51" s="67"/>
      <c r="F51" s="67"/>
      <c r="G51" s="67"/>
      <c r="H51" s="67"/>
      <c r="I51" s="67"/>
    </row>
    <row r="52" spans="1:9" ht="12.75" customHeight="1">
      <c r="A52" s="67" t="s">
        <v>55</v>
      </c>
      <c r="B52" s="67"/>
      <c r="C52" s="67" t="s">
        <v>49</v>
      </c>
      <c r="D52" s="67"/>
      <c r="E52" s="67"/>
      <c r="F52" s="67" t="s">
        <v>90</v>
      </c>
      <c r="G52" s="67"/>
      <c r="H52" s="67"/>
      <c r="I52" s="67"/>
    </row>
    <row r="53" spans="1:9" ht="15">
      <c r="A53" s="67"/>
      <c r="B53" s="67"/>
      <c r="C53" s="67"/>
      <c r="D53" s="67"/>
      <c r="E53" s="67"/>
      <c r="F53" s="126" t="s">
        <v>545</v>
      </c>
      <c r="G53" s="67"/>
      <c r="H53" s="67"/>
      <c r="I53" s="67"/>
    </row>
    <row r="54" s="67" customFormat="1" ht="15">
      <c r="A54" s="67" t="s">
        <v>50</v>
      </c>
    </row>
    <row r="55" spans="3:7" s="67" customFormat="1" ht="13.5" customHeight="1">
      <c r="C55" s="128" t="s">
        <v>51</v>
      </c>
      <c r="E55" s="128"/>
      <c r="F55" s="128"/>
      <c r="G55" s="128"/>
    </row>
    <row r="56" spans="8:9" s="67" customFormat="1" ht="15">
      <c r="H56" s="35"/>
      <c r="I56" s="35"/>
    </row>
    <row r="57" spans="3:7" s="67" customFormat="1" ht="15">
      <c r="C57" s="128"/>
      <c r="E57" s="128"/>
      <c r="F57" s="128"/>
      <c r="G57" s="128"/>
    </row>
    <row r="58" s="67" customFormat="1" ht="15"/>
    <row r="59" s="67" customFormat="1" ht="15"/>
  </sheetData>
  <sheetProtection/>
  <mergeCells count="25">
    <mergeCell ref="A39:B39"/>
    <mergeCell ref="A40:B41"/>
    <mergeCell ref="F50:G50"/>
    <mergeCell ref="B46:C46"/>
    <mergeCell ref="F46:G46"/>
    <mergeCell ref="F45:G45"/>
    <mergeCell ref="B47:C47"/>
    <mergeCell ref="B48:C48"/>
    <mergeCell ref="B49:C49"/>
    <mergeCell ref="A35:C35"/>
    <mergeCell ref="A12:I12"/>
    <mergeCell ref="F49:G49"/>
    <mergeCell ref="A34:F34"/>
    <mergeCell ref="F44:G44"/>
    <mergeCell ref="B45:C45"/>
    <mergeCell ref="F47:G47"/>
    <mergeCell ref="F48:G48"/>
    <mergeCell ref="A42:G42"/>
    <mergeCell ref="B44:C44"/>
    <mergeCell ref="A1:I1"/>
    <mergeCell ref="A2:I2"/>
    <mergeCell ref="A5:I5"/>
    <mergeCell ref="A10:I10"/>
    <mergeCell ref="A3:K3"/>
    <mergeCell ref="A11:I11"/>
  </mergeCells>
  <printOptions/>
  <pageMargins left="0" right="0" top="0" bottom="0" header="0.31496062992125984" footer="0.31496062992125984"/>
  <pageSetup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K55"/>
  <sheetViews>
    <sheetView zoomScalePageLayoutView="0" workbookViewId="0" topLeftCell="A43">
      <selection activeCell="M49" sqref="M49"/>
    </sheetView>
  </sheetViews>
  <sheetFormatPr defaultColWidth="9.140625" defaultRowHeight="15" outlineLevelCol="1"/>
  <cols>
    <col min="1" max="1" width="5.00390625" style="35" customWidth="1"/>
    <col min="2" max="2" width="42.28125" style="35" customWidth="1"/>
    <col min="3" max="3" width="13.8515625" style="35" customWidth="1"/>
    <col min="4" max="4" width="12.8515625" style="35" customWidth="1"/>
    <col min="5" max="5" width="13.140625" style="35" bestFit="1" customWidth="1"/>
    <col min="6" max="6" width="15.5742187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2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6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3.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4.5" customHeight="1"/>
    <row r="7" spans="1:6" s="67" customFormat="1" ht="16.5" customHeight="1">
      <c r="A7" s="67" t="s">
        <v>2</v>
      </c>
      <c r="F7" s="126" t="s">
        <v>72</v>
      </c>
    </row>
    <row r="8" spans="1:6" s="67" customFormat="1" ht="15">
      <c r="A8" s="67" t="s">
        <v>3</v>
      </c>
      <c r="F8" s="291" t="s">
        <v>300</v>
      </c>
    </row>
    <row r="9" s="67" customFormat="1" ht="5.25" customHeight="1"/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'[2]Калинина 18'!$G$37</f>
        <v>379377.09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'[2]Калинина 18'!$G$38</f>
        <v>414504.62159999995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67" customFormat="1" ht="29.25">
      <c r="A18" s="75" t="s">
        <v>14</v>
      </c>
      <c r="B18" s="41" t="s">
        <v>15</v>
      </c>
      <c r="C18" s="135">
        <f>C19+C20+C21+C22</f>
        <v>9.879999999999999</v>
      </c>
      <c r="D18" s="76">
        <v>435663.97</v>
      </c>
      <c r="E18" s="76">
        <v>421962.3</v>
      </c>
      <c r="F18" s="76">
        <f aca="true" t="shared" si="0" ref="F18:F25">D18</f>
        <v>435663.97</v>
      </c>
      <c r="G18" s="77">
        <f>D18-E18</f>
        <v>13701.669999999984</v>
      </c>
      <c r="H18" s="145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152570.58058704453</v>
      </c>
      <c r="E19" s="83">
        <f>E18*I19</f>
        <v>147772.22246963563</v>
      </c>
      <c r="F19" s="83">
        <f t="shared" si="0"/>
        <v>152570.58058704453</v>
      </c>
      <c r="G19" s="84">
        <f>D19-E19</f>
        <v>4798.358117408905</v>
      </c>
      <c r="H19" s="145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74521.46855263157</v>
      </c>
      <c r="E20" s="83">
        <f>E18*I20</f>
        <v>72177.76184210526</v>
      </c>
      <c r="F20" s="83">
        <f t="shared" si="0"/>
        <v>74521.46855263157</v>
      </c>
      <c r="G20" s="84">
        <f>D20-E20</f>
        <v>2343.7067105263122</v>
      </c>
      <c r="H20" s="145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74521.46855263157</v>
      </c>
      <c r="E21" s="83">
        <f>E18*I21</f>
        <v>72177.76184210526</v>
      </c>
      <c r="F21" s="83">
        <f t="shared" si="0"/>
        <v>74521.46855263157</v>
      </c>
      <c r="G21" s="84">
        <f>D21-E21</f>
        <v>2343.7067105263122</v>
      </c>
      <c r="H21" s="145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134050.4523076923</v>
      </c>
      <c r="E22" s="83">
        <f>E18*I22</f>
        <v>129834.55384615385</v>
      </c>
      <c r="F22" s="83">
        <f t="shared" si="0"/>
        <v>134050.4523076923</v>
      </c>
      <c r="G22" s="84">
        <f>D22-E22</f>
        <v>4215.89846153844</v>
      </c>
      <c r="H22" s="145">
        <f>C22</f>
        <v>3.04</v>
      </c>
      <c r="I22" s="67">
        <f>H22/H18</f>
        <v>0.3076923076923077</v>
      </c>
    </row>
    <row r="23" spans="1:9" ht="26.25">
      <c r="A23" s="41" t="s">
        <v>25</v>
      </c>
      <c r="B23" s="86" t="s">
        <v>462</v>
      </c>
      <c r="C23" s="97" t="s">
        <v>429</v>
      </c>
      <c r="D23" s="77">
        <v>81900</v>
      </c>
      <c r="E23" s="77">
        <v>75916.86</v>
      </c>
      <c r="F23" s="77">
        <f t="shared" si="0"/>
        <v>81900</v>
      </c>
      <c r="G23" s="77">
        <f aca="true" t="shared" si="1" ref="G23:G33">D23-E23</f>
        <v>5983.139999999999</v>
      </c>
      <c r="H23" s="35">
        <f>73*130</f>
        <v>9490</v>
      </c>
      <c r="I23" s="358">
        <f>D23/H23</f>
        <v>8.63013698630137</v>
      </c>
    </row>
    <row r="24" spans="1:7" ht="15">
      <c r="A24" s="41" t="s">
        <v>27</v>
      </c>
      <c r="B24" s="140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ht="15">
      <c r="A25" s="41" t="s">
        <v>29</v>
      </c>
      <c r="B25" s="140" t="s">
        <v>161</v>
      </c>
      <c r="C25" s="141" t="s">
        <v>296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</row>
    <row r="26" spans="1:7" ht="15">
      <c r="A26" s="41" t="s">
        <v>31</v>
      </c>
      <c r="B26" s="140" t="s">
        <v>116</v>
      </c>
      <c r="C26" s="97">
        <v>1.86</v>
      </c>
      <c r="D26" s="77">
        <v>75171.6</v>
      </c>
      <c r="E26" s="77">
        <v>73036.54</v>
      </c>
      <c r="F26" s="87">
        <f>F44</f>
        <v>117468.3654</v>
      </c>
      <c r="G26" s="77">
        <f t="shared" si="1"/>
        <v>2135.060000000012</v>
      </c>
    </row>
    <row r="27" spans="1:7" ht="15">
      <c r="A27" s="41" t="s">
        <v>33</v>
      </c>
      <c r="B27" s="134" t="s">
        <v>34</v>
      </c>
      <c r="C27" s="46">
        <v>0</v>
      </c>
      <c r="D27" s="77">
        <v>0</v>
      </c>
      <c r="E27" s="77">
        <v>35.11</v>
      </c>
      <c r="F27" s="197">
        <v>0</v>
      </c>
      <c r="G27" s="77">
        <f t="shared" si="1"/>
        <v>-35.11</v>
      </c>
    </row>
    <row r="28" spans="1:7" ht="15">
      <c r="A28" s="41" t="s">
        <v>35</v>
      </c>
      <c r="B28" s="134" t="s">
        <v>36</v>
      </c>
      <c r="C28" s="97"/>
      <c r="D28" s="77">
        <f>SUM(D29:D32)</f>
        <v>1764220.01</v>
      </c>
      <c r="E28" s="77">
        <f>SUM(E29:E32)</f>
        <v>1725747.81</v>
      </c>
      <c r="F28" s="77">
        <f>SUM(F29:F32)</f>
        <v>1764220.01</v>
      </c>
      <c r="G28" s="77">
        <f t="shared" si="1"/>
        <v>38472.19999999995</v>
      </c>
    </row>
    <row r="29" spans="1:7" ht="15">
      <c r="A29" s="34" t="s">
        <v>37</v>
      </c>
      <c r="B29" s="34" t="s">
        <v>165</v>
      </c>
      <c r="C29" s="285">
        <v>6</v>
      </c>
      <c r="D29" s="84">
        <v>21203.89</v>
      </c>
      <c r="E29" s="84">
        <v>20648.44</v>
      </c>
      <c r="F29" s="84">
        <f>D29</f>
        <v>21203.89</v>
      </c>
      <c r="G29" s="84">
        <f t="shared" si="1"/>
        <v>555.4500000000007</v>
      </c>
    </row>
    <row r="30" spans="1:7" ht="15">
      <c r="A30" s="34" t="s">
        <v>39</v>
      </c>
      <c r="B30" s="34" t="s">
        <v>137</v>
      </c>
      <c r="C30" s="285">
        <v>57.08</v>
      </c>
      <c r="D30" s="84">
        <v>508954.86</v>
      </c>
      <c r="E30" s="84">
        <v>497196.35</v>
      </c>
      <c r="F30" s="84">
        <f>D30</f>
        <v>508954.86</v>
      </c>
      <c r="G30" s="84">
        <f t="shared" si="1"/>
        <v>11758.51000000001</v>
      </c>
    </row>
    <row r="31" spans="1:7" ht="15">
      <c r="A31" s="34" t="s">
        <v>42</v>
      </c>
      <c r="B31" s="34" t="s">
        <v>40</v>
      </c>
      <c r="C31" s="286">
        <v>0</v>
      </c>
      <c r="D31" s="84">
        <v>0</v>
      </c>
      <c r="E31" s="84">
        <v>0</v>
      </c>
      <c r="F31" s="84">
        <f>D31</f>
        <v>0</v>
      </c>
      <c r="G31" s="84">
        <f t="shared" si="1"/>
        <v>0</v>
      </c>
    </row>
    <row r="32" spans="1:9" ht="15">
      <c r="A32" s="34" t="s">
        <v>41</v>
      </c>
      <c r="B32" s="34" t="s">
        <v>43</v>
      </c>
      <c r="C32" s="285">
        <v>2638.8</v>
      </c>
      <c r="D32" s="84">
        <v>1234061.26</v>
      </c>
      <c r="E32" s="84">
        <v>1207903.02</v>
      </c>
      <c r="F32" s="84">
        <f>D32</f>
        <v>1234061.26</v>
      </c>
      <c r="G32" s="84">
        <f t="shared" si="1"/>
        <v>26158.23999999999</v>
      </c>
      <c r="H32" s="101"/>
      <c r="I32" s="101"/>
    </row>
    <row r="33" spans="1:9" ht="15">
      <c r="A33" s="191" t="s">
        <v>271</v>
      </c>
      <c r="B33" s="327" t="s">
        <v>275</v>
      </c>
      <c r="C33" s="285"/>
      <c r="D33" s="287">
        <f>(500*12)+(500*12)+(500*12)+(500*12)</f>
        <v>24000</v>
      </c>
      <c r="E33" s="287">
        <v>12303</v>
      </c>
      <c r="F33" s="315"/>
      <c r="G33" s="287">
        <f t="shared" si="1"/>
        <v>11697</v>
      </c>
      <c r="H33" s="101"/>
      <c r="I33" s="101"/>
    </row>
    <row r="34" spans="1:9" ht="15">
      <c r="A34" s="191"/>
      <c r="B34" s="419"/>
      <c r="C34" s="487" t="s">
        <v>557</v>
      </c>
      <c r="D34" s="488"/>
      <c r="E34" s="488"/>
      <c r="F34" s="488"/>
      <c r="G34" s="424">
        <f>E33-(E33*15%)</f>
        <v>10457.55</v>
      </c>
      <c r="H34" s="101"/>
      <c r="I34" s="101"/>
    </row>
    <row r="35" spans="1:9" ht="15.75" thickBot="1">
      <c r="A35" s="446" t="s">
        <v>294</v>
      </c>
      <c r="B35" s="447"/>
      <c r="C35" s="447"/>
      <c r="D35" s="448"/>
      <c r="E35" s="448"/>
      <c r="F35" s="448"/>
      <c r="G35" s="170"/>
      <c r="H35" s="101"/>
      <c r="I35" s="101"/>
    </row>
    <row r="36" spans="1:10" s="102" customFormat="1" ht="14.25" thickBot="1">
      <c r="A36" s="455" t="s">
        <v>413</v>
      </c>
      <c r="B36" s="456"/>
      <c r="C36" s="456"/>
      <c r="D36" s="65">
        <v>924034.58</v>
      </c>
      <c r="E36" s="66"/>
      <c r="F36" s="66"/>
      <c r="G36" s="66"/>
      <c r="H36" s="62"/>
      <c r="I36" s="62"/>
      <c r="J36" s="101"/>
    </row>
    <row r="37" spans="1:9" s="67" customFormat="1" ht="15.75" thickBot="1">
      <c r="A37" s="68"/>
      <c r="B37" s="68"/>
      <c r="C37" s="68"/>
      <c r="D37" s="40"/>
      <c r="E37" s="66"/>
      <c r="F37" s="66"/>
      <c r="G37" s="66"/>
      <c r="H37" s="62"/>
      <c r="I37" s="62"/>
    </row>
    <row r="38" spans="1:9" s="67" customFormat="1" ht="15.75" thickBot="1">
      <c r="A38" s="63" t="s">
        <v>414</v>
      </c>
      <c r="B38" s="64"/>
      <c r="C38" s="64"/>
      <c r="D38" s="69"/>
      <c r="E38" s="70"/>
      <c r="F38" s="70"/>
      <c r="G38" s="144">
        <f>G14+E27-F27</f>
        <v>379412.2</v>
      </c>
      <c r="H38" s="62"/>
      <c r="I38" s="62"/>
    </row>
    <row r="39" spans="1:9" s="67" customFormat="1" ht="15.75" thickBot="1">
      <c r="A39" s="63" t="s">
        <v>415</v>
      </c>
      <c r="B39" s="64"/>
      <c r="C39" s="64"/>
      <c r="D39" s="69"/>
      <c r="E39" s="70"/>
      <c r="F39" s="70"/>
      <c r="G39" s="144">
        <f>G15+E26-F26</f>
        <v>370072.7961999999</v>
      </c>
      <c r="H39" s="62"/>
      <c r="I39" s="62"/>
    </row>
    <row r="40" spans="1:9" s="67" customFormat="1" ht="15">
      <c r="A40" s="68"/>
      <c r="B40" s="68"/>
      <c r="C40" s="68"/>
      <c r="D40" s="40"/>
      <c r="E40" s="66"/>
      <c r="F40" s="66"/>
      <c r="G40" s="40"/>
      <c r="H40" s="62"/>
      <c r="I40" s="62"/>
    </row>
    <row r="41" spans="1:9" s="67" customFormat="1" ht="28.5" customHeight="1">
      <c r="A41" s="537" t="s">
        <v>44</v>
      </c>
      <c r="B41" s="537"/>
      <c r="C41" s="537"/>
      <c r="D41" s="537"/>
      <c r="E41" s="537"/>
      <c r="F41" s="537"/>
      <c r="G41" s="537"/>
      <c r="H41" s="537"/>
      <c r="I41" s="537"/>
    </row>
    <row r="42" ht="6.75" customHeight="1"/>
    <row r="43" spans="1:9" ht="28.5">
      <c r="A43" s="105" t="s">
        <v>11</v>
      </c>
      <c r="B43" s="471" t="s">
        <v>45</v>
      </c>
      <c r="C43" s="484"/>
      <c r="D43" s="105" t="s">
        <v>163</v>
      </c>
      <c r="E43" s="105" t="s">
        <v>162</v>
      </c>
      <c r="F43" s="471" t="s">
        <v>46</v>
      </c>
      <c r="G43" s="484"/>
      <c r="H43" s="171"/>
      <c r="I43" s="171"/>
    </row>
    <row r="44" spans="1:9" ht="15">
      <c r="A44" s="109" t="s">
        <v>47</v>
      </c>
      <c r="B44" s="473" t="s">
        <v>111</v>
      </c>
      <c r="C44" s="491"/>
      <c r="D44" s="110"/>
      <c r="E44" s="110"/>
      <c r="F44" s="496">
        <f>SUM(F45:L50)</f>
        <v>117468.3654</v>
      </c>
      <c r="G44" s="483"/>
      <c r="H44" s="114"/>
      <c r="I44" s="114"/>
    </row>
    <row r="45" spans="1:9" s="171" customFormat="1" ht="24.75" customHeight="1">
      <c r="A45" s="34" t="s">
        <v>16</v>
      </c>
      <c r="B45" s="462" t="s">
        <v>326</v>
      </c>
      <c r="C45" s="489"/>
      <c r="D45" s="337"/>
      <c r="E45" s="341" t="s">
        <v>221</v>
      </c>
      <c r="F45" s="525">
        <v>1750</v>
      </c>
      <c r="G45" s="526"/>
      <c r="H45" s="35"/>
      <c r="I45" s="35"/>
    </row>
    <row r="46" spans="1:9" s="171" customFormat="1" ht="15">
      <c r="A46" s="34" t="s">
        <v>18</v>
      </c>
      <c r="B46" s="462" t="s">
        <v>241</v>
      </c>
      <c r="C46" s="489"/>
      <c r="D46" s="403" t="s">
        <v>164</v>
      </c>
      <c r="E46" s="403">
        <v>3</v>
      </c>
      <c r="F46" s="525">
        <v>8988</v>
      </c>
      <c r="G46" s="526"/>
      <c r="H46" s="35"/>
      <c r="I46" s="35"/>
    </row>
    <row r="47" spans="1:9" s="171" customFormat="1" ht="17.25" customHeight="1">
      <c r="A47" s="34" t="s">
        <v>20</v>
      </c>
      <c r="B47" s="462" t="s">
        <v>404</v>
      </c>
      <c r="C47" s="498"/>
      <c r="D47" s="403"/>
      <c r="E47" s="406"/>
      <c r="F47" s="482">
        <v>44000</v>
      </c>
      <c r="G47" s="482"/>
      <c r="H47" s="35"/>
      <c r="I47" s="35"/>
    </row>
    <row r="48" spans="1:9" s="171" customFormat="1" ht="17.25" customHeight="1">
      <c r="A48" s="34" t="s">
        <v>22</v>
      </c>
      <c r="B48" s="462" t="s">
        <v>406</v>
      </c>
      <c r="C48" s="498"/>
      <c r="D48" s="118"/>
      <c r="E48" s="152"/>
      <c r="F48" s="482">
        <v>48000</v>
      </c>
      <c r="G48" s="482"/>
      <c r="H48" s="35"/>
      <c r="I48" s="35"/>
    </row>
    <row r="49" spans="1:9" s="171" customFormat="1" ht="17.25" customHeight="1">
      <c r="A49" s="34" t="s">
        <v>24</v>
      </c>
      <c r="B49" s="449" t="s">
        <v>814</v>
      </c>
      <c r="C49" s="641"/>
      <c r="D49" s="118" t="s">
        <v>391</v>
      </c>
      <c r="E49" s="152">
        <v>5</v>
      </c>
      <c r="F49" s="490">
        <v>14000</v>
      </c>
      <c r="G49" s="490"/>
      <c r="H49" s="35"/>
      <c r="I49" s="35"/>
    </row>
    <row r="50" spans="1:7" ht="15">
      <c r="A50" s="34" t="s">
        <v>103</v>
      </c>
      <c r="B50" s="148" t="s">
        <v>111</v>
      </c>
      <c r="C50" s="149"/>
      <c r="D50" s="118"/>
      <c r="E50" s="118"/>
      <c r="F50" s="495">
        <f>E26*1%</f>
        <v>730.3653999999999</v>
      </c>
      <c r="G50" s="495"/>
    </row>
    <row r="51" spans="1:9" ht="12" customHeight="1">
      <c r="A51" s="67"/>
      <c r="B51" s="67"/>
      <c r="C51" s="67"/>
      <c r="D51" s="67"/>
      <c r="E51" s="67"/>
      <c r="F51" s="67"/>
      <c r="G51" s="67"/>
      <c r="H51" s="67"/>
      <c r="I51" s="67"/>
    </row>
    <row r="52" spans="1:9" ht="12" customHeight="1">
      <c r="A52" s="67" t="s">
        <v>55</v>
      </c>
      <c r="B52" s="67"/>
      <c r="C52" s="67" t="s">
        <v>49</v>
      </c>
      <c r="D52" s="67"/>
      <c r="E52" s="67"/>
      <c r="F52" s="67" t="s">
        <v>90</v>
      </c>
      <c r="G52" s="67"/>
      <c r="H52" s="67"/>
      <c r="I52" s="67"/>
    </row>
    <row r="53" spans="1:9" ht="12" customHeight="1">
      <c r="A53" s="67"/>
      <c r="B53" s="67"/>
      <c r="C53" s="67"/>
      <c r="D53" s="67"/>
      <c r="E53" s="67"/>
      <c r="F53" s="126" t="s">
        <v>545</v>
      </c>
      <c r="G53" s="67"/>
      <c r="H53" s="67"/>
      <c r="I53" s="67"/>
    </row>
    <row r="54" s="67" customFormat="1" ht="9.75" customHeight="1">
      <c r="A54" s="67" t="s">
        <v>50</v>
      </c>
    </row>
    <row r="55" spans="3:7" s="67" customFormat="1" ht="15">
      <c r="C55" s="128" t="s">
        <v>51</v>
      </c>
      <c r="E55" s="128"/>
      <c r="F55" s="128"/>
      <c r="G55" s="128"/>
    </row>
    <row r="56" s="67" customFormat="1" ht="15"/>
    <row r="57" s="67" customFormat="1" ht="15"/>
  </sheetData>
  <sheetProtection/>
  <mergeCells count="26">
    <mergeCell ref="B49:C49"/>
    <mergeCell ref="F49:G49"/>
    <mergeCell ref="F50:G50"/>
    <mergeCell ref="A36:C36"/>
    <mergeCell ref="A41:I41"/>
    <mergeCell ref="B43:C43"/>
    <mergeCell ref="F43:G43"/>
    <mergeCell ref="F44:G44"/>
    <mergeCell ref="F47:G47"/>
    <mergeCell ref="F48:G48"/>
    <mergeCell ref="B46:C46"/>
    <mergeCell ref="B48:C48"/>
    <mergeCell ref="A1:I1"/>
    <mergeCell ref="A2:I2"/>
    <mergeCell ref="A5:I5"/>
    <mergeCell ref="A10:I10"/>
    <mergeCell ref="A3:K3"/>
    <mergeCell ref="A11:I11"/>
    <mergeCell ref="A12:I12"/>
    <mergeCell ref="B45:C45"/>
    <mergeCell ref="C34:F34"/>
    <mergeCell ref="B47:C47"/>
    <mergeCell ref="F46:G46"/>
    <mergeCell ref="F45:G45"/>
    <mergeCell ref="B44:C44"/>
    <mergeCell ref="A35:F35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P54"/>
  <sheetViews>
    <sheetView zoomScalePageLayoutView="0" workbookViewId="0" topLeftCell="A38">
      <selection activeCell="B48" sqref="B48:G48"/>
    </sheetView>
  </sheetViews>
  <sheetFormatPr defaultColWidth="9.140625" defaultRowHeight="15" outlineLevelCol="1"/>
  <cols>
    <col min="1" max="1" width="4.7109375" style="35" customWidth="1"/>
    <col min="2" max="2" width="45.7109375" style="35" customWidth="1"/>
    <col min="3" max="3" width="12.7109375" style="35" customWidth="1"/>
    <col min="4" max="4" width="13.00390625" style="35" customWidth="1"/>
    <col min="5" max="5" width="13.140625" style="35" customWidth="1"/>
    <col min="6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0.7109375" style="35" bestFit="1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2.7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9.7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4.2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3.75" customHeight="1"/>
    <row r="7" spans="1:6" s="67" customFormat="1" ht="16.5" customHeight="1">
      <c r="A7" s="67" t="s">
        <v>2</v>
      </c>
      <c r="F7" s="126" t="s">
        <v>73</v>
      </c>
    </row>
    <row r="8" spans="1:6" s="67" customFormat="1" ht="15">
      <c r="A8" s="67" t="s">
        <v>3</v>
      </c>
      <c r="F8" s="291" t="s">
        <v>349</v>
      </c>
    </row>
    <row r="9" s="67" customFormat="1" ht="15"/>
    <row r="10" spans="1:9" s="67" customFormat="1" ht="13.5" customHeight="1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0.5" customHeight="1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'[2]Калинина 23'!$G$36</f>
        <v>28500.50999999998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'[2]Калинина 23'!$G$37</f>
        <v>-1444.6345999999949</v>
      </c>
      <c r="H15" s="62"/>
      <c r="I15" s="62"/>
    </row>
    <row r="16" s="67" customFormat="1" ht="8.25" customHeight="1"/>
    <row r="17" spans="1:7" s="74" customFormat="1" ht="52.5" customHeight="1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67" customFormat="1" ht="29.25">
      <c r="A18" s="75" t="s">
        <v>14</v>
      </c>
      <c r="B18" s="41" t="s">
        <v>15</v>
      </c>
      <c r="C18" s="135">
        <f>C19+C20+C21+C22</f>
        <v>9.879999999999999</v>
      </c>
      <c r="D18" s="76">
        <v>446855.54</v>
      </c>
      <c r="E18" s="76">
        <v>451734.45</v>
      </c>
      <c r="F18" s="76">
        <f>D18</f>
        <v>446855.54</v>
      </c>
      <c r="G18" s="77">
        <f>D18-E18</f>
        <v>-4878.910000000033</v>
      </c>
      <c r="H18" s="145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156489.89558704454</v>
      </c>
      <c r="E19" s="83">
        <f>E18*I19</f>
        <v>158198.5017206478</v>
      </c>
      <c r="F19" s="83">
        <f>D19</f>
        <v>156489.89558704454</v>
      </c>
      <c r="G19" s="84">
        <f>D19-E19</f>
        <v>-1708.606133603258</v>
      </c>
      <c r="H19" s="145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76435.81605263158</v>
      </c>
      <c r="E20" s="83">
        <f>E18*I20</f>
        <v>77270.36644736842</v>
      </c>
      <c r="F20" s="83">
        <f>D20</f>
        <v>76435.81605263158</v>
      </c>
      <c r="G20" s="84">
        <f>D20-E20</f>
        <v>-834.5503947368416</v>
      </c>
      <c r="H20" s="145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76435.81605263158</v>
      </c>
      <c r="E21" s="83">
        <f>E18*I21</f>
        <v>77270.36644736842</v>
      </c>
      <c r="F21" s="83">
        <f>D21</f>
        <v>76435.81605263158</v>
      </c>
      <c r="G21" s="84">
        <f>D21-E21</f>
        <v>-834.5503947368416</v>
      </c>
      <c r="H21" s="145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137494.01230769232</v>
      </c>
      <c r="E22" s="83">
        <f>E18*I22</f>
        <v>138995.21538461538</v>
      </c>
      <c r="F22" s="83">
        <f>D22</f>
        <v>137494.01230769232</v>
      </c>
      <c r="G22" s="84">
        <f>D22-E22</f>
        <v>-1501.2030769230623</v>
      </c>
      <c r="H22" s="145">
        <f>C22</f>
        <v>3.04</v>
      </c>
      <c r="I22" s="67">
        <f>H22/H18</f>
        <v>0.3076923076923077</v>
      </c>
    </row>
    <row r="23" spans="1:9" ht="15">
      <c r="A23" s="41" t="s">
        <v>25</v>
      </c>
      <c r="B23" s="86" t="s">
        <v>462</v>
      </c>
      <c r="C23" s="97" t="s">
        <v>428</v>
      </c>
      <c r="D23" s="77">
        <v>87300</v>
      </c>
      <c r="E23" s="77">
        <v>84070.75</v>
      </c>
      <c r="F23" s="77">
        <v>0</v>
      </c>
      <c r="G23" s="77">
        <f aca="true" t="shared" si="0" ref="G23:G32">D23-E23</f>
        <v>3229.25</v>
      </c>
      <c r="H23" s="35">
        <f>71*130</f>
        <v>9230</v>
      </c>
      <c r="I23" s="358">
        <f>D23/H23</f>
        <v>9.458288190682557</v>
      </c>
    </row>
    <row r="24" spans="1:7" ht="15">
      <c r="A24" s="41" t="s">
        <v>27</v>
      </c>
      <c r="B24" s="140" t="s">
        <v>28</v>
      </c>
      <c r="C24" s="97">
        <v>0</v>
      </c>
      <c r="D24" s="77">
        <v>0</v>
      </c>
      <c r="E24" s="77">
        <v>0</v>
      </c>
      <c r="F24" s="77">
        <f>D24</f>
        <v>0</v>
      </c>
      <c r="G24" s="77">
        <f t="shared" si="0"/>
        <v>0</v>
      </c>
    </row>
    <row r="25" spans="1:7" ht="15">
      <c r="A25" s="41" t="s">
        <v>29</v>
      </c>
      <c r="B25" s="140" t="s">
        <v>161</v>
      </c>
      <c r="C25" s="141" t="s">
        <v>296</v>
      </c>
      <c r="D25" s="77">
        <v>0</v>
      </c>
      <c r="E25" s="77">
        <v>0</v>
      </c>
      <c r="F25" s="77">
        <f>D25</f>
        <v>0</v>
      </c>
      <c r="G25" s="77">
        <f t="shared" si="0"/>
        <v>0</v>
      </c>
    </row>
    <row r="26" spans="1:13" ht="15">
      <c r="A26" s="41" t="s">
        <v>31</v>
      </c>
      <c r="B26" s="140" t="s">
        <v>116</v>
      </c>
      <c r="C26" s="97">
        <v>1.86</v>
      </c>
      <c r="D26" s="77">
        <v>75827.76</v>
      </c>
      <c r="E26" s="77">
        <v>76427.04</v>
      </c>
      <c r="F26" s="87">
        <f>F42</f>
        <v>150188.17040000003</v>
      </c>
      <c r="G26" s="77">
        <f t="shared" si="0"/>
        <v>-599.2799999999988</v>
      </c>
      <c r="M26" s="159"/>
    </row>
    <row r="27" spans="1:16" ht="15">
      <c r="A27" s="41" t="s">
        <v>33</v>
      </c>
      <c r="B27" s="134" t="s">
        <v>34</v>
      </c>
      <c r="C27" s="53"/>
      <c r="D27" s="77">
        <v>0</v>
      </c>
      <c r="E27" s="77">
        <v>567.89</v>
      </c>
      <c r="F27" s="197">
        <v>0</v>
      </c>
      <c r="G27" s="77">
        <f t="shared" si="0"/>
        <v>-567.89</v>
      </c>
      <c r="H27" s="544" t="s">
        <v>222</v>
      </c>
      <c r="I27" s="545"/>
      <c r="J27" s="545"/>
      <c r="N27" s="542"/>
      <c r="O27" s="543"/>
      <c r="P27" s="543"/>
    </row>
    <row r="28" spans="1:7" ht="15">
      <c r="A28" s="41" t="s">
        <v>35</v>
      </c>
      <c r="B28" s="134" t="s">
        <v>36</v>
      </c>
      <c r="C28" s="97"/>
      <c r="D28" s="77">
        <f>SUM(D29:D32)</f>
        <v>1724772.8399999999</v>
      </c>
      <c r="E28" s="77">
        <f>SUM(E29:E32)</f>
        <v>1732980.66</v>
      </c>
      <c r="F28" s="77">
        <f>SUM(F29:F32)</f>
        <v>1724772.8399999999</v>
      </c>
      <c r="G28" s="77">
        <f t="shared" si="0"/>
        <v>-8207.820000000065</v>
      </c>
    </row>
    <row r="29" spans="1:7" ht="15">
      <c r="A29" s="34" t="s">
        <v>37</v>
      </c>
      <c r="B29" s="34" t="s">
        <v>165</v>
      </c>
      <c r="C29" s="285">
        <v>6</v>
      </c>
      <c r="D29" s="84">
        <v>36552.46</v>
      </c>
      <c r="E29" s="84">
        <v>36704.14</v>
      </c>
      <c r="F29" s="84">
        <f>D29</f>
        <v>36552.46</v>
      </c>
      <c r="G29" s="84">
        <f t="shared" si="0"/>
        <v>-151.6800000000003</v>
      </c>
    </row>
    <row r="30" spans="1:7" ht="15">
      <c r="A30" s="34" t="s">
        <v>39</v>
      </c>
      <c r="B30" s="34" t="s">
        <v>137</v>
      </c>
      <c r="C30" s="285">
        <v>57.08</v>
      </c>
      <c r="D30" s="84">
        <v>533639.82</v>
      </c>
      <c r="E30" s="84">
        <v>529280.58</v>
      </c>
      <c r="F30" s="84">
        <f>D30</f>
        <v>533639.82</v>
      </c>
      <c r="G30" s="84">
        <f t="shared" si="0"/>
        <v>4359.239999999991</v>
      </c>
    </row>
    <row r="31" spans="1:7" ht="15">
      <c r="A31" s="34" t="s">
        <v>42</v>
      </c>
      <c r="B31" s="34" t="s">
        <v>40</v>
      </c>
      <c r="C31" s="286">
        <v>0</v>
      </c>
      <c r="D31" s="84">
        <v>0</v>
      </c>
      <c r="E31" s="84">
        <v>0</v>
      </c>
      <c r="F31" s="84">
        <f>D31</f>
        <v>0</v>
      </c>
      <c r="G31" s="84">
        <f t="shared" si="0"/>
        <v>0</v>
      </c>
    </row>
    <row r="32" spans="1:9" ht="15">
      <c r="A32" s="34" t="s">
        <v>41</v>
      </c>
      <c r="B32" s="34" t="s">
        <v>43</v>
      </c>
      <c r="C32" s="285">
        <v>2638.8</v>
      </c>
      <c r="D32" s="84">
        <v>1154580.56</v>
      </c>
      <c r="E32" s="84">
        <v>1166995.94</v>
      </c>
      <c r="F32" s="84">
        <f>D32</f>
        <v>1154580.56</v>
      </c>
      <c r="G32" s="84">
        <f t="shared" si="0"/>
        <v>-12415.379999999888</v>
      </c>
      <c r="H32" s="101"/>
      <c r="I32" s="101"/>
    </row>
    <row r="33" spans="1:9" ht="15.75" thickBot="1">
      <c r="A33" s="446" t="s">
        <v>294</v>
      </c>
      <c r="B33" s="447"/>
      <c r="C33" s="447"/>
      <c r="D33" s="448"/>
      <c r="E33" s="448"/>
      <c r="F33" s="448"/>
      <c r="G33" s="170"/>
      <c r="H33" s="101"/>
      <c r="I33" s="101"/>
    </row>
    <row r="34" spans="1:10" s="102" customFormat="1" ht="14.25" thickBot="1">
      <c r="A34" s="455" t="s">
        <v>413</v>
      </c>
      <c r="B34" s="456"/>
      <c r="C34" s="456"/>
      <c r="D34" s="65">
        <v>558278.05</v>
      </c>
      <c r="E34" s="66"/>
      <c r="F34" s="66"/>
      <c r="G34" s="66"/>
      <c r="H34" s="62"/>
      <c r="I34" s="62"/>
      <c r="J34" s="101"/>
    </row>
    <row r="35" spans="1:9" s="67" customFormat="1" ht="15.75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414</v>
      </c>
      <c r="B36" s="64"/>
      <c r="C36" s="64"/>
      <c r="D36" s="69"/>
      <c r="E36" s="70"/>
      <c r="F36" s="70"/>
      <c r="G36" s="144">
        <f>G14+E27-F27</f>
        <v>29068.39999999998</v>
      </c>
      <c r="H36" s="62"/>
      <c r="I36" s="62"/>
    </row>
    <row r="37" spans="1:9" s="67" customFormat="1" ht="15.75" thickBot="1">
      <c r="A37" s="63" t="s">
        <v>415</v>
      </c>
      <c r="B37" s="64"/>
      <c r="C37" s="64"/>
      <c r="D37" s="69"/>
      <c r="E37" s="70"/>
      <c r="F37" s="70"/>
      <c r="G37" s="144">
        <f>G15+E26-F26</f>
        <v>-75205.76500000003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s="67" customFormat="1" ht="31.5" customHeight="1">
      <c r="A39" s="537" t="s">
        <v>44</v>
      </c>
      <c r="B39" s="537"/>
      <c r="C39" s="537"/>
      <c r="D39" s="537"/>
      <c r="E39" s="537"/>
      <c r="F39" s="537"/>
      <c r="G39" s="537"/>
      <c r="H39" s="537"/>
      <c r="I39" s="537"/>
    </row>
    <row r="41" spans="1:9" ht="28.5">
      <c r="A41" s="105" t="s">
        <v>11</v>
      </c>
      <c r="B41" s="471" t="s">
        <v>45</v>
      </c>
      <c r="C41" s="484"/>
      <c r="D41" s="105" t="s">
        <v>163</v>
      </c>
      <c r="E41" s="105" t="s">
        <v>162</v>
      </c>
      <c r="F41" s="471" t="s">
        <v>46</v>
      </c>
      <c r="G41" s="484"/>
      <c r="H41" s="171"/>
      <c r="I41" s="171"/>
    </row>
    <row r="42" spans="1:9" s="171" customFormat="1" ht="15">
      <c r="A42" s="109" t="s">
        <v>47</v>
      </c>
      <c r="B42" s="473" t="s">
        <v>111</v>
      </c>
      <c r="C42" s="491"/>
      <c r="D42" s="110"/>
      <c r="E42" s="110"/>
      <c r="F42" s="496">
        <f>SUM(F43:G49)</f>
        <v>150188.17040000003</v>
      </c>
      <c r="G42" s="483"/>
      <c r="H42" s="114"/>
      <c r="I42" s="114"/>
    </row>
    <row r="43" spans="1:9" s="171" customFormat="1" ht="15">
      <c r="A43" s="34" t="s">
        <v>16</v>
      </c>
      <c r="B43" s="540" t="s">
        <v>574</v>
      </c>
      <c r="C43" s="541"/>
      <c r="D43" s="110"/>
      <c r="E43" s="110"/>
      <c r="F43" s="525">
        <v>91740.7</v>
      </c>
      <c r="G43" s="526"/>
      <c r="H43" s="114"/>
      <c r="I43" s="114"/>
    </row>
    <row r="44" spans="1:9" s="171" customFormat="1" ht="15">
      <c r="A44" s="34" t="s">
        <v>18</v>
      </c>
      <c r="B44" s="462" t="s">
        <v>326</v>
      </c>
      <c r="C44" s="489"/>
      <c r="D44" s="110"/>
      <c r="E44" s="110"/>
      <c r="F44" s="525">
        <v>1700</v>
      </c>
      <c r="G44" s="526"/>
      <c r="H44" s="114"/>
      <c r="I44" s="114"/>
    </row>
    <row r="45" spans="1:9" s="171" customFormat="1" ht="15">
      <c r="A45" s="34" t="s">
        <v>20</v>
      </c>
      <c r="B45" s="462" t="s">
        <v>326</v>
      </c>
      <c r="C45" s="489"/>
      <c r="D45" s="110"/>
      <c r="E45" s="110"/>
      <c r="F45" s="525">
        <v>1720</v>
      </c>
      <c r="G45" s="526"/>
      <c r="H45" s="114"/>
      <c r="I45" s="114"/>
    </row>
    <row r="46" spans="1:9" s="171" customFormat="1" ht="15">
      <c r="A46" s="34" t="s">
        <v>22</v>
      </c>
      <c r="B46" s="462" t="s">
        <v>573</v>
      </c>
      <c r="C46" s="498"/>
      <c r="D46" s="404" t="s">
        <v>164</v>
      </c>
      <c r="E46" s="404">
        <v>1</v>
      </c>
      <c r="F46" s="525">
        <v>37020</v>
      </c>
      <c r="G46" s="526"/>
      <c r="H46" s="114"/>
      <c r="I46" s="114"/>
    </row>
    <row r="47" spans="1:9" s="171" customFormat="1" ht="15">
      <c r="A47" s="34" t="s">
        <v>24</v>
      </c>
      <c r="B47" s="462" t="s">
        <v>575</v>
      </c>
      <c r="C47" s="489"/>
      <c r="D47" s="404" t="s">
        <v>217</v>
      </c>
      <c r="E47" s="404">
        <v>0.03</v>
      </c>
      <c r="F47" s="525">
        <v>6043.2</v>
      </c>
      <c r="G47" s="526"/>
      <c r="H47" s="114"/>
      <c r="I47" s="114"/>
    </row>
    <row r="48" spans="1:9" s="114" customFormat="1" ht="12.75" customHeight="1">
      <c r="A48" s="34" t="s">
        <v>103</v>
      </c>
      <c r="B48" s="449" t="s">
        <v>814</v>
      </c>
      <c r="C48" s="451"/>
      <c r="D48" s="118" t="s">
        <v>391</v>
      </c>
      <c r="E48" s="118">
        <v>4</v>
      </c>
      <c r="F48" s="521">
        <v>11200</v>
      </c>
      <c r="G48" s="522"/>
      <c r="H48" s="35"/>
      <c r="I48" s="35"/>
    </row>
    <row r="49" spans="1:7" ht="12.75" customHeight="1">
      <c r="A49" s="34" t="s">
        <v>104</v>
      </c>
      <c r="B49" s="148" t="s">
        <v>188</v>
      </c>
      <c r="C49" s="149"/>
      <c r="D49" s="118"/>
      <c r="E49" s="118"/>
      <c r="F49" s="495">
        <f>E26*1%</f>
        <v>764.2704</v>
      </c>
      <c r="G49" s="495"/>
    </row>
    <row r="50" spans="1:9" ht="12.75" customHeight="1">
      <c r="A50" s="67"/>
      <c r="B50" s="67"/>
      <c r="C50" s="67"/>
      <c r="D50" s="67"/>
      <c r="E50" s="67"/>
      <c r="F50" s="67"/>
      <c r="G50" s="67"/>
      <c r="H50" s="67"/>
      <c r="I50" s="67"/>
    </row>
    <row r="51" spans="1:9" ht="12.75" customHeight="1">
      <c r="A51" s="67" t="s">
        <v>55</v>
      </c>
      <c r="B51" s="67"/>
      <c r="C51" s="67" t="s">
        <v>49</v>
      </c>
      <c r="D51" s="67"/>
      <c r="E51" s="67"/>
      <c r="F51" s="67" t="s">
        <v>90</v>
      </c>
      <c r="G51" s="67"/>
      <c r="H51" s="67"/>
      <c r="I51" s="67"/>
    </row>
    <row r="52" spans="1:9" ht="12.75" customHeight="1">
      <c r="A52" s="67"/>
      <c r="B52" s="67"/>
      <c r="C52" s="67"/>
      <c r="D52" s="67"/>
      <c r="E52" s="67"/>
      <c r="F52" s="126" t="s">
        <v>545</v>
      </c>
      <c r="G52" s="67"/>
      <c r="H52" s="67"/>
      <c r="I52" s="67"/>
    </row>
    <row r="53" spans="1:9" ht="12.75" customHeight="1">
      <c r="A53" s="67" t="s">
        <v>50</v>
      </c>
      <c r="B53" s="67"/>
      <c r="C53" s="67"/>
      <c r="D53" s="67"/>
      <c r="E53" s="67"/>
      <c r="F53" s="67"/>
      <c r="G53" s="67"/>
      <c r="H53" s="67"/>
      <c r="I53" s="67"/>
    </row>
    <row r="54" spans="1:9" ht="12.75" customHeight="1">
      <c r="A54" s="67"/>
      <c r="B54" s="67"/>
      <c r="C54" s="128" t="s">
        <v>51</v>
      </c>
      <c r="D54" s="67"/>
      <c r="E54" s="128"/>
      <c r="F54" s="128"/>
      <c r="G54" s="128"/>
      <c r="H54" s="67"/>
      <c r="I54" s="67"/>
    </row>
    <row r="55" s="67" customFormat="1" ht="15"/>
    <row r="56" s="67" customFormat="1" ht="15"/>
  </sheetData>
  <sheetProtection/>
  <mergeCells count="29">
    <mergeCell ref="A11:I11"/>
    <mergeCell ref="A1:I1"/>
    <mergeCell ref="A2:I2"/>
    <mergeCell ref="A5:I5"/>
    <mergeCell ref="A10:I10"/>
    <mergeCell ref="A3:K3"/>
    <mergeCell ref="N27:P27"/>
    <mergeCell ref="H27:J27"/>
    <mergeCell ref="A33:F33"/>
    <mergeCell ref="A34:C34"/>
    <mergeCell ref="A39:I39"/>
    <mergeCell ref="A12:I12"/>
    <mergeCell ref="B41:C41"/>
    <mergeCell ref="F41:G41"/>
    <mergeCell ref="B42:C42"/>
    <mergeCell ref="F42:G42"/>
    <mergeCell ref="F49:G49"/>
    <mergeCell ref="B48:C48"/>
    <mergeCell ref="F48:G48"/>
    <mergeCell ref="F43:G43"/>
    <mergeCell ref="F44:G44"/>
    <mergeCell ref="F45:G45"/>
    <mergeCell ref="B43:C43"/>
    <mergeCell ref="F46:G46"/>
    <mergeCell ref="F47:G47"/>
    <mergeCell ref="B44:C44"/>
    <mergeCell ref="B45:C45"/>
    <mergeCell ref="B46:C46"/>
    <mergeCell ref="B47:C4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M56"/>
  <sheetViews>
    <sheetView zoomScalePageLayoutView="0" workbookViewId="0" topLeftCell="A39">
      <selection activeCell="F47" sqref="F47:G47"/>
    </sheetView>
  </sheetViews>
  <sheetFormatPr defaultColWidth="9.140625" defaultRowHeight="15" outlineLevelCol="1"/>
  <cols>
    <col min="1" max="1" width="4.7109375" style="35" customWidth="1"/>
    <col min="2" max="2" width="41.140625" style="35" customWidth="1"/>
    <col min="3" max="3" width="13.00390625" style="35" customWidth="1"/>
    <col min="4" max="4" width="13.57421875" style="35" customWidth="1"/>
    <col min="5" max="5" width="12.8515625" style="35" customWidth="1"/>
    <col min="6" max="6" width="13.8515625" style="35" customWidth="1"/>
    <col min="7" max="7" width="15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5.2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4.2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5.25" customHeight="1"/>
    <row r="7" spans="1:6" s="67" customFormat="1" ht="16.5" customHeight="1">
      <c r="A7" s="67" t="s">
        <v>2</v>
      </c>
      <c r="F7" s="126" t="s">
        <v>74</v>
      </c>
    </row>
    <row r="8" spans="1:6" s="67" customFormat="1" ht="15">
      <c r="A8" s="67" t="s">
        <v>3</v>
      </c>
      <c r="F8" s="291" t="s">
        <v>230</v>
      </c>
    </row>
    <row r="9" s="67" customFormat="1" ht="7.5" customHeight="1"/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'[2]Пионерская 9'!$G$36</f>
        <v>24338.2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'[2]Пионерская 9'!$G$37</f>
        <v>-70423.20420000001</v>
      </c>
      <c r="H15" s="62"/>
      <c r="I15" s="62"/>
    </row>
    <row r="16" s="67" customFormat="1" ht="8.2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67" customFormat="1" ht="29.25">
      <c r="A18" s="75" t="s">
        <v>14</v>
      </c>
      <c r="B18" s="41" t="s">
        <v>15</v>
      </c>
      <c r="C18" s="135">
        <f>C19+C20+C21+C22+C23</f>
        <v>13.84</v>
      </c>
      <c r="D18" s="76">
        <v>497381.17</v>
      </c>
      <c r="E18" s="76">
        <v>500728.45</v>
      </c>
      <c r="F18" s="76">
        <f aca="true" t="shared" si="0" ref="F18:F23">D18</f>
        <v>497381.17</v>
      </c>
      <c r="G18" s="77">
        <f aca="true" t="shared" si="1" ref="G18:G23">D18-E18</f>
        <v>-3347.280000000028</v>
      </c>
      <c r="H18" s="145">
        <f aca="true" t="shared" si="2" ref="H18:H23">C18</f>
        <v>13.84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124345.2925</v>
      </c>
      <c r="E19" s="83">
        <f>E18*I19</f>
        <v>125182.1125</v>
      </c>
      <c r="F19" s="83">
        <f t="shared" si="0"/>
        <v>124345.2925</v>
      </c>
      <c r="G19" s="84">
        <f t="shared" si="1"/>
        <v>-836.820000000007</v>
      </c>
      <c r="H19" s="145">
        <f t="shared" si="2"/>
        <v>3.46</v>
      </c>
      <c r="I19" s="67">
        <f>H19/H18</f>
        <v>0.25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60735.128417630054</v>
      </c>
      <c r="E20" s="83">
        <f>E18*I20</f>
        <v>61143.86419797688</v>
      </c>
      <c r="F20" s="83">
        <f t="shared" si="0"/>
        <v>60735.128417630054</v>
      </c>
      <c r="G20" s="84">
        <f t="shared" si="1"/>
        <v>-408.7357803468258</v>
      </c>
      <c r="H20" s="145">
        <f t="shared" si="2"/>
        <v>1.69</v>
      </c>
      <c r="I20" s="67">
        <f>H20/H18</f>
        <v>0.12210982658959538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77266.58348988439</v>
      </c>
      <c r="E21" s="83">
        <f>E18*I21</f>
        <v>77786.57279624278</v>
      </c>
      <c r="F21" s="83">
        <f t="shared" si="0"/>
        <v>77266.58348988439</v>
      </c>
      <c r="G21" s="84">
        <f t="shared" si="1"/>
        <v>-519.9893063583877</v>
      </c>
      <c r="H21" s="145">
        <f t="shared" si="2"/>
        <v>2.15</v>
      </c>
      <c r="I21" s="67">
        <f>H21/H18</f>
        <v>0.15534682080924855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109251.3552601156</v>
      </c>
      <c r="E22" s="83">
        <f>E18*I22</f>
        <v>109986.59595375723</v>
      </c>
      <c r="F22" s="83">
        <f t="shared" si="0"/>
        <v>109251.3552601156</v>
      </c>
      <c r="G22" s="84">
        <f t="shared" si="1"/>
        <v>-735.2406936416373</v>
      </c>
      <c r="H22" s="145">
        <f t="shared" si="2"/>
        <v>3.04</v>
      </c>
      <c r="I22" s="67">
        <f>H22/H18</f>
        <v>0.21965317919075145</v>
      </c>
    </row>
    <row r="23" spans="1:9" s="67" customFormat="1" ht="15">
      <c r="A23" s="81" t="s">
        <v>24</v>
      </c>
      <c r="B23" s="34" t="s">
        <v>180</v>
      </c>
      <c r="C23" s="99">
        <v>3.5</v>
      </c>
      <c r="D23" s="83">
        <f>I23*D18</f>
        <v>125782.81033236995</v>
      </c>
      <c r="E23" s="83">
        <f>I23*E18</f>
        <v>126629.30455202314</v>
      </c>
      <c r="F23" s="83">
        <f t="shared" si="0"/>
        <v>125782.81033236995</v>
      </c>
      <c r="G23" s="84">
        <f t="shared" si="1"/>
        <v>-846.494219653192</v>
      </c>
      <c r="H23" s="145">
        <f t="shared" si="2"/>
        <v>3.5</v>
      </c>
      <c r="I23" s="67">
        <f>H23/H18</f>
        <v>0.25289017341040465</v>
      </c>
    </row>
    <row r="24" spans="1:7" ht="15">
      <c r="A24" s="41" t="s">
        <v>25</v>
      </c>
      <c r="B24" s="140" t="s">
        <v>169</v>
      </c>
      <c r="C24" s="141">
        <v>3.86</v>
      </c>
      <c r="D24" s="77">
        <v>138019.2</v>
      </c>
      <c r="E24" s="77">
        <v>139085.83</v>
      </c>
      <c r="F24" s="76">
        <f aca="true" t="shared" si="3" ref="F24:F33">D24</f>
        <v>138019.2</v>
      </c>
      <c r="G24" s="77">
        <f aca="true" t="shared" si="4" ref="G24:G33">D24-E24</f>
        <v>-1066.6299999999756</v>
      </c>
    </row>
    <row r="25" spans="1:7" ht="15">
      <c r="A25" s="41" t="s">
        <v>27</v>
      </c>
      <c r="B25" s="140" t="s">
        <v>28</v>
      </c>
      <c r="C25" s="141">
        <v>0</v>
      </c>
      <c r="D25" s="77">
        <v>0</v>
      </c>
      <c r="E25" s="77">
        <v>0</v>
      </c>
      <c r="F25" s="76">
        <f>D25</f>
        <v>0</v>
      </c>
      <c r="G25" s="77">
        <f t="shared" si="4"/>
        <v>0</v>
      </c>
    </row>
    <row r="26" spans="1:7" ht="15">
      <c r="A26" s="41" t="s">
        <v>29</v>
      </c>
      <c r="B26" s="140" t="s">
        <v>161</v>
      </c>
      <c r="C26" s="141" t="s">
        <v>296</v>
      </c>
      <c r="D26" s="77">
        <v>0</v>
      </c>
      <c r="E26" s="77">
        <v>0</v>
      </c>
      <c r="F26" s="76">
        <f t="shared" si="3"/>
        <v>0</v>
      </c>
      <c r="G26" s="77">
        <f t="shared" si="4"/>
        <v>0</v>
      </c>
    </row>
    <row r="27" spans="1:13" ht="15">
      <c r="A27" s="41" t="s">
        <v>31</v>
      </c>
      <c r="B27" s="140" t="s">
        <v>116</v>
      </c>
      <c r="C27" s="141">
        <v>2.06</v>
      </c>
      <c r="D27" s="77">
        <v>73657.68</v>
      </c>
      <c r="E27" s="77">
        <v>74226.93</v>
      </c>
      <c r="F27" s="76">
        <f>F43</f>
        <v>100478.4893</v>
      </c>
      <c r="G27" s="77">
        <f t="shared" si="4"/>
        <v>-569.25</v>
      </c>
      <c r="M27" s="159"/>
    </row>
    <row r="28" spans="1:7" ht="15">
      <c r="A28" s="41" t="s">
        <v>33</v>
      </c>
      <c r="B28" s="134" t="s">
        <v>34</v>
      </c>
      <c r="C28" s="135">
        <v>0</v>
      </c>
      <c r="D28" s="77">
        <v>0</v>
      </c>
      <c r="E28" s="77">
        <v>11.18</v>
      </c>
      <c r="F28" s="76">
        <f>D28</f>
        <v>0</v>
      </c>
      <c r="G28" s="77">
        <f t="shared" si="4"/>
        <v>-11.18</v>
      </c>
    </row>
    <row r="29" spans="1:7" ht="15">
      <c r="A29" s="41" t="s">
        <v>35</v>
      </c>
      <c r="B29" s="134" t="s">
        <v>36</v>
      </c>
      <c r="C29" s="135"/>
      <c r="D29" s="77">
        <f>SUM(D30:D33)</f>
        <v>2000476.02</v>
      </c>
      <c r="E29" s="77">
        <f>SUM(E30:E33)</f>
        <v>2000961.6099999999</v>
      </c>
      <c r="F29" s="76">
        <f t="shared" si="3"/>
        <v>2000476.02</v>
      </c>
      <c r="G29" s="77">
        <f t="shared" si="4"/>
        <v>-485.589999999851</v>
      </c>
    </row>
    <row r="30" spans="1:7" ht="15">
      <c r="A30" s="34" t="s">
        <v>37</v>
      </c>
      <c r="B30" s="34" t="s">
        <v>165</v>
      </c>
      <c r="C30" s="285">
        <v>6</v>
      </c>
      <c r="D30" s="84">
        <v>103735.8</v>
      </c>
      <c r="E30" s="84">
        <v>104393.86</v>
      </c>
      <c r="F30" s="83">
        <f>D30</f>
        <v>103735.8</v>
      </c>
      <c r="G30" s="84">
        <f t="shared" si="4"/>
        <v>-658.0599999999977</v>
      </c>
    </row>
    <row r="31" spans="1:7" ht="15">
      <c r="A31" s="34" t="s">
        <v>39</v>
      </c>
      <c r="B31" s="34" t="s">
        <v>137</v>
      </c>
      <c r="C31" s="285">
        <v>57.08</v>
      </c>
      <c r="D31" s="84">
        <v>311042.59</v>
      </c>
      <c r="E31" s="84">
        <v>309802.78</v>
      </c>
      <c r="F31" s="83">
        <f t="shared" si="3"/>
        <v>311042.59</v>
      </c>
      <c r="G31" s="84">
        <f t="shared" si="4"/>
        <v>1239.8099999999977</v>
      </c>
    </row>
    <row r="32" spans="1:7" ht="15">
      <c r="A32" s="34" t="s">
        <v>42</v>
      </c>
      <c r="B32" s="34" t="s">
        <v>40</v>
      </c>
      <c r="C32" s="286">
        <v>211.65</v>
      </c>
      <c r="D32" s="84">
        <v>592189.53</v>
      </c>
      <c r="E32" s="84">
        <v>585788.46</v>
      </c>
      <c r="F32" s="83">
        <f t="shared" si="3"/>
        <v>592189.53</v>
      </c>
      <c r="G32" s="84">
        <f t="shared" si="4"/>
        <v>6401.070000000065</v>
      </c>
    </row>
    <row r="33" spans="1:9" ht="15">
      <c r="A33" s="34" t="s">
        <v>41</v>
      </c>
      <c r="B33" s="34" t="s">
        <v>43</v>
      </c>
      <c r="C33" s="285">
        <v>2638.8</v>
      </c>
      <c r="D33" s="84">
        <v>993508.1</v>
      </c>
      <c r="E33" s="84">
        <v>1000976.51</v>
      </c>
      <c r="F33" s="83">
        <f t="shared" si="3"/>
        <v>993508.1</v>
      </c>
      <c r="G33" s="84">
        <f t="shared" si="4"/>
        <v>-7468.410000000033</v>
      </c>
      <c r="H33" s="101"/>
      <c r="I33" s="101"/>
    </row>
    <row r="34" spans="1:9" ht="15.75" thickBot="1">
      <c r="A34" s="446" t="s">
        <v>294</v>
      </c>
      <c r="B34" s="447"/>
      <c r="C34" s="447"/>
      <c r="D34" s="448"/>
      <c r="E34" s="448"/>
      <c r="F34" s="448"/>
      <c r="G34" s="170"/>
      <c r="H34" s="101"/>
      <c r="I34" s="101"/>
    </row>
    <row r="35" spans="1:10" s="102" customFormat="1" ht="14.25" thickBot="1">
      <c r="A35" s="455" t="s">
        <v>413</v>
      </c>
      <c r="B35" s="456"/>
      <c r="C35" s="456"/>
      <c r="D35" s="65">
        <v>427726.93</v>
      </c>
      <c r="E35" s="66"/>
      <c r="F35" s="66"/>
      <c r="G35" s="66"/>
      <c r="H35" s="62"/>
      <c r="I35" s="62"/>
      <c r="J35" s="101"/>
    </row>
    <row r="36" spans="1:9" s="67" customFormat="1" ht="15.75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414</v>
      </c>
      <c r="B37" s="64"/>
      <c r="C37" s="64"/>
      <c r="D37" s="69"/>
      <c r="E37" s="70"/>
      <c r="F37" s="70"/>
      <c r="G37" s="144">
        <f>G14+E28-F28</f>
        <v>24349.38</v>
      </c>
      <c r="H37" s="62"/>
      <c r="I37" s="62"/>
    </row>
    <row r="38" spans="1:9" s="67" customFormat="1" ht="15.75" thickBot="1">
      <c r="A38" s="63" t="s">
        <v>415</v>
      </c>
      <c r="B38" s="64"/>
      <c r="C38" s="64"/>
      <c r="D38" s="69"/>
      <c r="E38" s="70"/>
      <c r="F38" s="70"/>
      <c r="G38" s="144">
        <f>G15+E27-F27</f>
        <v>-96674.76350000002</v>
      </c>
      <c r="H38" s="62"/>
      <c r="I38" s="62"/>
    </row>
    <row r="39" spans="1:9" s="67" customFormat="1" ht="15">
      <c r="A39" s="68"/>
      <c r="B39" s="68"/>
      <c r="C39" s="68"/>
      <c r="D39" s="40"/>
      <c r="E39" s="66"/>
      <c r="F39" s="66"/>
      <c r="G39" s="40"/>
      <c r="H39" s="62"/>
      <c r="I39" s="62"/>
    </row>
    <row r="40" spans="1:9" s="67" customFormat="1" ht="24" customHeight="1">
      <c r="A40" s="537" t="s">
        <v>44</v>
      </c>
      <c r="B40" s="537"/>
      <c r="C40" s="537"/>
      <c r="D40" s="537"/>
      <c r="E40" s="537"/>
      <c r="F40" s="537"/>
      <c r="G40" s="537"/>
      <c r="H40" s="537"/>
      <c r="I40" s="537"/>
    </row>
    <row r="42" spans="1:9" ht="28.5">
      <c r="A42" s="105" t="s">
        <v>11</v>
      </c>
      <c r="B42" s="471" t="s">
        <v>45</v>
      </c>
      <c r="C42" s="484"/>
      <c r="D42" s="105" t="s">
        <v>163</v>
      </c>
      <c r="E42" s="105" t="s">
        <v>162</v>
      </c>
      <c r="F42" s="471" t="s">
        <v>46</v>
      </c>
      <c r="G42" s="484"/>
      <c r="H42" s="171"/>
      <c r="I42" s="171"/>
    </row>
    <row r="43" spans="1:9" s="171" customFormat="1" ht="15">
      <c r="A43" s="109" t="s">
        <v>47</v>
      </c>
      <c r="B43" s="473" t="s">
        <v>111</v>
      </c>
      <c r="C43" s="491"/>
      <c r="D43" s="110"/>
      <c r="E43" s="110"/>
      <c r="F43" s="496">
        <f>SUM(F44:G48)</f>
        <v>100478.4893</v>
      </c>
      <c r="G43" s="483"/>
      <c r="H43" s="114"/>
      <c r="I43" s="114"/>
    </row>
    <row r="44" spans="1:9" s="171" customFormat="1" ht="15">
      <c r="A44" s="34" t="s">
        <v>16</v>
      </c>
      <c r="B44" s="462" t="s">
        <v>576</v>
      </c>
      <c r="C44" s="489"/>
      <c r="D44" s="337" t="s">
        <v>216</v>
      </c>
      <c r="E44" s="337">
        <v>0.2</v>
      </c>
      <c r="F44" s="497">
        <v>77584.45</v>
      </c>
      <c r="G44" s="497"/>
      <c r="H44" s="114"/>
      <c r="I44" s="114"/>
    </row>
    <row r="45" spans="1:9" s="171" customFormat="1" ht="15">
      <c r="A45" s="34" t="s">
        <v>18</v>
      </c>
      <c r="B45" s="462" t="s">
        <v>577</v>
      </c>
      <c r="C45" s="498"/>
      <c r="D45" s="337" t="s">
        <v>216</v>
      </c>
      <c r="E45" s="337">
        <v>0.03</v>
      </c>
      <c r="F45" s="497">
        <v>10951.77</v>
      </c>
      <c r="G45" s="497"/>
      <c r="H45" s="114"/>
      <c r="I45" s="114"/>
    </row>
    <row r="46" spans="1:9" s="171" customFormat="1" ht="20.25" customHeight="1">
      <c r="A46" s="34" t="s">
        <v>20</v>
      </c>
      <c r="B46" s="449" t="s">
        <v>814</v>
      </c>
      <c r="C46" s="541"/>
      <c r="D46" s="118" t="s">
        <v>391</v>
      </c>
      <c r="E46" s="118">
        <v>4</v>
      </c>
      <c r="F46" s="546">
        <v>11200</v>
      </c>
      <c r="G46" s="547"/>
      <c r="H46" s="114"/>
      <c r="I46" s="114"/>
    </row>
    <row r="47" spans="1:9" s="171" customFormat="1" ht="15">
      <c r="A47" s="34" t="s">
        <v>22</v>
      </c>
      <c r="B47" s="449"/>
      <c r="C47" s="451"/>
      <c r="D47" s="118"/>
      <c r="E47" s="198"/>
      <c r="F47" s="495"/>
      <c r="G47" s="495"/>
      <c r="H47" s="114"/>
      <c r="I47" s="114"/>
    </row>
    <row r="48" spans="1:7" ht="12.75" customHeight="1">
      <c r="A48" s="34" t="s">
        <v>24</v>
      </c>
      <c r="B48" s="148" t="s">
        <v>188</v>
      </c>
      <c r="C48" s="149"/>
      <c r="D48" s="118"/>
      <c r="E48" s="118"/>
      <c r="F48" s="495">
        <f>E27*1%</f>
        <v>742.2692999999999</v>
      </c>
      <c r="G48" s="495"/>
    </row>
    <row r="49" spans="1:9" ht="12.75" customHeight="1">
      <c r="A49" s="67"/>
      <c r="B49" s="67"/>
      <c r="C49" s="67"/>
      <c r="D49" s="67"/>
      <c r="E49" s="67"/>
      <c r="F49" s="67"/>
      <c r="G49" s="67"/>
      <c r="H49" s="67"/>
      <c r="I49" s="67"/>
    </row>
    <row r="50" spans="1:9" ht="12.75" customHeight="1">
      <c r="A50" s="67" t="s">
        <v>55</v>
      </c>
      <c r="B50" s="67"/>
      <c r="C50" s="67" t="s">
        <v>49</v>
      </c>
      <c r="D50" s="67"/>
      <c r="E50" s="67"/>
      <c r="F50" s="67" t="s">
        <v>90</v>
      </c>
      <c r="G50" s="67"/>
      <c r="H50" s="67"/>
      <c r="I50" s="67"/>
    </row>
    <row r="51" spans="1:9" ht="12.75" customHeight="1">
      <c r="A51" s="67"/>
      <c r="B51" s="67"/>
      <c r="C51" s="67"/>
      <c r="D51" s="67"/>
      <c r="E51" s="67"/>
      <c r="F51" s="126" t="s">
        <v>545</v>
      </c>
      <c r="G51" s="67"/>
      <c r="H51" s="67"/>
      <c r="I51" s="67"/>
    </row>
    <row r="52" spans="1:9" ht="12.75" customHeight="1">
      <c r="A52" s="67" t="s">
        <v>50</v>
      </c>
      <c r="B52" s="67"/>
      <c r="C52" s="67"/>
      <c r="D52" s="67"/>
      <c r="E52" s="67"/>
      <c r="F52" s="67"/>
      <c r="G52" s="67"/>
      <c r="H52" s="67"/>
      <c r="I52" s="67"/>
    </row>
    <row r="53" spans="1:9" ht="12.75" customHeight="1">
      <c r="A53" s="67"/>
      <c r="B53" s="67"/>
      <c r="C53" s="128" t="s">
        <v>51</v>
      </c>
      <c r="D53" s="67"/>
      <c r="E53" s="128"/>
      <c r="F53" s="128"/>
      <c r="G53" s="128"/>
      <c r="H53" s="67"/>
      <c r="I53" s="67"/>
    </row>
    <row r="54" spans="1:9" ht="15">
      <c r="A54" s="67"/>
      <c r="B54" s="67"/>
      <c r="C54" s="67"/>
      <c r="D54" s="67"/>
      <c r="E54" s="67"/>
      <c r="F54" s="67"/>
      <c r="G54" s="67"/>
      <c r="H54" s="67"/>
      <c r="I54" s="67"/>
    </row>
    <row r="55" s="67" customFormat="1" ht="15"/>
    <row r="56" spans="1:7" s="67" customFormat="1" ht="13.5" customHeight="1">
      <c r="A56" s="35"/>
      <c r="B56" s="154"/>
      <c r="C56" s="154"/>
      <c r="D56" s="154"/>
      <c r="E56" s="154"/>
      <c r="F56" s="35"/>
      <c r="G56" s="35"/>
    </row>
  </sheetData>
  <sheetProtection/>
  <mergeCells count="23">
    <mergeCell ref="A1:I1"/>
    <mergeCell ref="A2:I2"/>
    <mergeCell ref="A5:I5"/>
    <mergeCell ref="A10:I10"/>
    <mergeCell ref="A3:K3"/>
    <mergeCell ref="A11:I11"/>
    <mergeCell ref="F48:G48"/>
    <mergeCell ref="B47:C47"/>
    <mergeCell ref="A12:I12"/>
    <mergeCell ref="F43:G43"/>
    <mergeCell ref="A35:C35"/>
    <mergeCell ref="F44:G44"/>
    <mergeCell ref="A34:F34"/>
    <mergeCell ref="B46:C46"/>
    <mergeCell ref="A40:I40"/>
    <mergeCell ref="B42:C42"/>
    <mergeCell ref="F42:G42"/>
    <mergeCell ref="B44:C44"/>
    <mergeCell ref="F46:G46"/>
    <mergeCell ref="F47:G47"/>
    <mergeCell ref="B43:C43"/>
    <mergeCell ref="F45:G45"/>
    <mergeCell ref="B45:C45"/>
  </mergeCells>
  <printOptions/>
  <pageMargins left="0" right="0" top="0" bottom="0" header="0.31496062992125984" footer="0.31496062992125984"/>
  <pageSetup horizontalDpi="600" verticalDpi="600" orientation="portrait" paperSize="9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K50"/>
  <sheetViews>
    <sheetView zoomScalePageLayoutView="0" workbookViewId="0" topLeftCell="A34">
      <selection activeCell="B43" sqref="B43:G43"/>
    </sheetView>
  </sheetViews>
  <sheetFormatPr defaultColWidth="9.140625" defaultRowHeight="15" outlineLevelCol="1"/>
  <cols>
    <col min="1" max="1" width="4.7109375" style="35" customWidth="1"/>
    <col min="2" max="2" width="46.8515625" style="35" customWidth="1"/>
    <col min="3" max="3" width="13.00390625" style="35" customWidth="1"/>
    <col min="4" max="4" width="13.421875" style="35" customWidth="1"/>
    <col min="5" max="5" width="14.00390625" style="35" customWidth="1"/>
    <col min="6" max="6" width="12.710937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7.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5.7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4.5" customHeight="1"/>
    <row r="7" spans="1:6" s="67" customFormat="1" ht="16.5" customHeight="1">
      <c r="A7" s="67" t="s">
        <v>2</v>
      </c>
      <c r="F7" s="126" t="s">
        <v>75</v>
      </c>
    </row>
    <row r="8" spans="1:6" s="67" customFormat="1" ht="15">
      <c r="A8" s="67" t="s">
        <v>3</v>
      </c>
      <c r="F8" s="291" t="s">
        <v>350</v>
      </c>
    </row>
    <row r="9" s="67" customFormat="1" ht="7.5" customHeight="1"/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'[2]Высокая 4'!$G$35</f>
        <v>13760.64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'[2]Высокая 4'!$G$36</f>
        <v>-137331.91400000002</v>
      </c>
      <c r="H15" s="62"/>
      <c r="I15" s="62"/>
    </row>
    <row r="16" s="67" customFormat="1" ht="8.25" customHeight="1"/>
    <row r="17" spans="1:7" s="74" customFormat="1" ht="52.5" customHeight="1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67" customFormat="1" ht="30.75" customHeight="1">
      <c r="A18" s="75" t="s">
        <v>14</v>
      </c>
      <c r="B18" s="41" t="s">
        <v>15</v>
      </c>
      <c r="C18" s="135">
        <f>C19+C20+C21+C22</f>
        <v>9.879999999999999</v>
      </c>
      <c r="D18" s="76">
        <v>228331.1</v>
      </c>
      <c r="E18" s="76">
        <v>217212.2</v>
      </c>
      <c r="F18" s="76">
        <f aca="true" t="shared" si="0" ref="F18:F25">D18</f>
        <v>228331.1</v>
      </c>
      <c r="G18" s="77">
        <f>D18-E18</f>
        <v>11118.899999999994</v>
      </c>
      <c r="H18" s="145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79962.10587044535</v>
      </c>
      <c r="E19" s="83">
        <f>E18*I19</f>
        <v>76068.24008097166</v>
      </c>
      <c r="F19" s="83">
        <f t="shared" si="0"/>
        <v>79962.10587044535</v>
      </c>
      <c r="G19" s="84">
        <f>D19-E19</f>
        <v>3893.8657894736825</v>
      </c>
      <c r="H19" s="145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39056.63552631579</v>
      </c>
      <c r="E20" s="83">
        <f>E18*I20</f>
        <v>37154.71842105263</v>
      </c>
      <c r="F20" s="83">
        <f t="shared" si="0"/>
        <v>39056.63552631579</v>
      </c>
      <c r="G20" s="84">
        <f>D20-E20</f>
        <v>1901.9171052631573</v>
      </c>
      <c r="H20" s="145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39056.63552631579</v>
      </c>
      <c r="E21" s="83">
        <f>E18*I21</f>
        <v>37154.71842105263</v>
      </c>
      <c r="F21" s="83">
        <f t="shared" si="0"/>
        <v>39056.63552631579</v>
      </c>
      <c r="G21" s="84">
        <f>D21-E21</f>
        <v>1901.9171052631573</v>
      </c>
      <c r="H21" s="145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70255.72307692308</v>
      </c>
      <c r="E22" s="83">
        <f>E18*I22</f>
        <v>66834.52307692308</v>
      </c>
      <c r="F22" s="83">
        <f t="shared" si="0"/>
        <v>70255.72307692308</v>
      </c>
      <c r="G22" s="84">
        <f>D22-E22</f>
        <v>3421.199999999997</v>
      </c>
      <c r="H22" s="145">
        <f>C22</f>
        <v>3.04</v>
      </c>
      <c r="I22" s="67">
        <f>H22/H18</f>
        <v>0.3076923076923077</v>
      </c>
    </row>
    <row r="23" spans="1:9" ht="15">
      <c r="A23" s="41" t="s">
        <v>25</v>
      </c>
      <c r="B23" s="86" t="s">
        <v>462</v>
      </c>
      <c r="C23" s="97" t="s">
        <v>428</v>
      </c>
      <c r="D23" s="77">
        <v>46800</v>
      </c>
      <c r="E23" s="77">
        <v>43247.74</v>
      </c>
      <c r="F23" s="77">
        <f t="shared" si="0"/>
        <v>46800</v>
      </c>
      <c r="G23" s="77">
        <f aca="true" t="shared" si="1" ref="G23:G32">D23-E23</f>
        <v>3552.260000000002</v>
      </c>
      <c r="H23" s="35">
        <f>40*130</f>
        <v>5200</v>
      </c>
      <c r="I23" s="35">
        <f>D23/H23</f>
        <v>9</v>
      </c>
    </row>
    <row r="24" spans="1:7" ht="15">
      <c r="A24" s="41" t="s">
        <v>27</v>
      </c>
      <c r="B24" s="140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ht="15">
      <c r="A25" s="41" t="s">
        <v>29</v>
      </c>
      <c r="B25" s="140" t="s">
        <v>161</v>
      </c>
      <c r="C25" s="141"/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</row>
    <row r="26" spans="1:7" ht="15">
      <c r="A26" s="41" t="s">
        <v>31</v>
      </c>
      <c r="B26" s="140" t="s">
        <v>116</v>
      </c>
      <c r="C26" s="97">
        <v>1.86</v>
      </c>
      <c r="D26" s="77">
        <v>40588.92</v>
      </c>
      <c r="E26" s="77">
        <v>38630.23</v>
      </c>
      <c r="F26" s="87">
        <f>F41</f>
        <v>16786.3023</v>
      </c>
      <c r="G26" s="77">
        <f t="shared" si="1"/>
        <v>1958.689999999995</v>
      </c>
    </row>
    <row r="27" spans="1:7" ht="15">
      <c r="A27" s="41" t="s">
        <v>33</v>
      </c>
      <c r="B27" s="134" t="s">
        <v>34</v>
      </c>
      <c r="C27" s="46">
        <v>0</v>
      </c>
      <c r="D27" s="77">
        <v>0</v>
      </c>
      <c r="E27" s="77">
        <v>0</v>
      </c>
      <c r="F27" s="87">
        <v>0</v>
      </c>
      <c r="G27" s="77">
        <f t="shared" si="1"/>
        <v>0</v>
      </c>
    </row>
    <row r="28" spans="1:7" ht="15">
      <c r="A28" s="41" t="s">
        <v>35</v>
      </c>
      <c r="B28" s="134" t="s">
        <v>36</v>
      </c>
      <c r="C28" s="97"/>
      <c r="D28" s="77">
        <f>SUM(D29:D32)</f>
        <v>1115667.11</v>
      </c>
      <c r="E28" s="77">
        <f>SUM(E29:E32)</f>
        <v>1028490.52</v>
      </c>
      <c r="F28" s="77">
        <f>SUM(F29:F32)</f>
        <v>1115667.11</v>
      </c>
      <c r="G28" s="77">
        <f t="shared" si="1"/>
        <v>87176.59000000008</v>
      </c>
    </row>
    <row r="29" spans="1:7" ht="15">
      <c r="A29" s="34" t="s">
        <v>37</v>
      </c>
      <c r="B29" s="34" t="s">
        <v>165</v>
      </c>
      <c r="C29" s="285">
        <v>6</v>
      </c>
      <c r="D29" s="84">
        <v>22876.2</v>
      </c>
      <c r="E29" s="84">
        <v>21735.41</v>
      </c>
      <c r="F29" s="84">
        <f>D29</f>
        <v>22876.2</v>
      </c>
      <c r="G29" s="84">
        <f t="shared" si="1"/>
        <v>1140.7900000000009</v>
      </c>
    </row>
    <row r="30" spans="1:7" ht="15">
      <c r="A30" s="34" t="s">
        <v>39</v>
      </c>
      <c r="B30" s="34" t="s">
        <v>137</v>
      </c>
      <c r="C30" s="285">
        <v>57.08</v>
      </c>
      <c r="D30" s="84">
        <v>300052.6</v>
      </c>
      <c r="E30" s="84">
        <v>254309.62</v>
      </c>
      <c r="F30" s="84">
        <f>D30</f>
        <v>300052.6</v>
      </c>
      <c r="G30" s="84">
        <f t="shared" si="1"/>
        <v>45742.97999999998</v>
      </c>
    </row>
    <row r="31" spans="1:7" ht="15">
      <c r="A31" s="34" t="s">
        <v>42</v>
      </c>
      <c r="B31" s="34" t="s">
        <v>40</v>
      </c>
      <c r="C31" s="286"/>
      <c r="D31" s="84">
        <v>0</v>
      </c>
      <c r="E31" s="84">
        <v>0</v>
      </c>
      <c r="F31" s="84">
        <f>D31</f>
        <v>0</v>
      </c>
      <c r="G31" s="84">
        <f t="shared" si="1"/>
        <v>0</v>
      </c>
    </row>
    <row r="32" spans="1:9" ht="15.75" thickBot="1">
      <c r="A32" s="34" t="s">
        <v>41</v>
      </c>
      <c r="B32" s="34" t="s">
        <v>43</v>
      </c>
      <c r="C32" s="285">
        <v>2638.8</v>
      </c>
      <c r="D32" s="84">
        <v>792738.31</v>
      </c>
      <c r="E32" s="84">
        <v>752445.49</v>
      </c>
      <c r="F32" s="84">
        <f>D32</f>
        <v>792738.31</v>
      </c>
      <c r="G32" s="84">
        <f t="shared" si="1"/>
        <v>40292.820000000065</v>
      </c>
      <c r="H32" s="101"/>
      <c r="I32" s="101"/>
    </row>
    <row r="33" spans="1:10" s="102" customFormat="1" ht="14.25" thickBot="1">
      <c r="A33" s="455" t="s">
        <v>413</v>
      </c>
      <c r="B33" s="456"/>
      <c r="C33" s="456"/>
      <c r="D33" s="65">
        <v>814033.69</v>
      </c>
      <c r="E33" s="66"/>
      <c r="F33" s="66"/>
      <c r="G33" s="66"/>
      <c r="H33" s="62"/>
      <c r="I33" s="62"/>
      <c r="J33" s="101"/>
    </row>
    <row r="34" spans="1:9" s="67" customFormat="1" ht="15.75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414</v>
      </c>
      <c r="B35" s="64"/>
      <c r="C35" s="64"/>
      <c r="D35" s="69"/>
      <c r="E35" s="70"/>
      <c r="F35" s="70"/>
      <c r="G35" s="144">
        <f>G14+E27-F27</f>
        <v>13760.64</v>
      </c>
      <c r="H35" s="62"/>
      <c r="I35" s="62"/>
    </row>
    <row r="36" spans="1:9" s="67" customFormat="1" ht="15.75" thickBot="1">
      <c r="A36" s="63" t="s">
        <v>415</v>
      </c>
      <c r="B36" s="64"/>
      <c r="C36" s="64"/>
      <c r="D36" s="69"/>
      <c r="E36" s="70"/>
      <c r="F36" s="70"/>
      <c r="G36" s="144">
        <f>G15+E26-F26</f>
        <v>-115487.9863</v>
      </c>
      <c r="H36" s="62"/>
      <c r="I36" s="62"/>
    </row>
    <row r="37" spans="1:9" s="67" customFormat="1" ht="15">
      <c r="A37" s="68"/>
      <c r="B37" s="68"/>
      <c r="C37" s="68"/>
      <c r="D37" s="40"/>
      <c r="E37" s="66"/>
      <c r="F37" s="66"/>
      <c r="G37" s="40"/>
      <c r="H37" s="62"/>
      <c r="I37" s="62"/>
    </row>
    <row r="38" spans="1:9" s="67" customFormat="1" ht="32.25" customHeight="1">
      <c r="A38" s="537" t="s">
        <v>44</v>
      </c>
      <c r="B38" s="537"/>
      <c r="C38" s="537"/>
      <c r="D38" s="537"/>
      <c r="E38" s="537"/>
      <c r="F38" s="537"/>
      <c r="G38" s="537"/>
      <c r="H38" s="537"/>
      <c r="I38" s="537"/>
    </row>
    <row r="40" spans="1:9" ht="28.5">
      <c r="A40" s="105" t="s">
        <v>11</v>
      </c>
      <c r="B40" s="471" t="s">
        <v>45</v>
      </c>
      <c r="C40" s="484"/>
      <c r="D40" s="105" t="s">
        <v>163</v>
      </c>
      <c r="E40" s="105" t="s">
        <v>162</v>
      </c>
      <c r="F40" s="471" t="s">
        <v>46</v>
      </c>
      <c r="G40" s="484"/>
      <c r="H40" s="171"/>
      <c r="I40" s="171"/>
    </row>
    <row r="41" spans="1:9" s="171" customFormat="1" ht="28.5" customHeight="1">
      <c r="A41" s="109" t="s">
        <v>47</v>
      </c>
      <c r="B41" s="473" t="s">
        <v>111</v>
      </c>
      <c r="C41" s="491"/>
      <c r="D41" s="110"/>
      <c r="E41" s="110"/>
      <c r="F41" s="496">
        <f>SUM(F42:G45)</f>
        <v>16786.3023</v>
      </c>
      <c r="G41" s="483"/>
      <c r="H41" s="114"/>
      <c r="I41" s="114"/>
    </row>
    <row r="42" spans="1:9" s="171" customFormat="1" ht="15">
      <c r="A42" s="34" t="s">
        <v>16</v>
      </c>
      <c r="B42" s="505" t="s">
        <v>578</v>
      </c>
      <c r="C42" s="548"/>
      <c r="D42" s="337"/>
      <c r="E42" s="337"/>
      <c r="F42" s="497">
        <v>8000</v>
      </c>
      <c r="G42" s="497"/>
      <c r="H42" s="114"/>
      <c r="I42" s="114"/>
    </row>
    <row r="43" spans="1:9" s="171" customFormat="1" ht="15.75" customHeight="1">
      <c r="A43" s="34" t="s">
        <v>18</v>
      </c>
      <c r="B43" s="503" t="s">
        <v>814</v>
      </c>
      <c r="C43" s="549"/>
      <c r="D43" s="118" t="s">
        <v>391</v>
      </c>
      <c r="E43" s="118">
        <v>3</v>
      </c>
      <c r="F43" s="495">
        <v>8400</v>
      </c>
      <c r="G43" s="495"/>
      <c r="H43" s="114"/>
      <c r="I43" s="114"/>
    </row>
    <row r="44" spans="1:9" s="171" customFormat="1" ht="15" customHeight="1">
      <c r="A44" s="34" t="s">
        <v>20</v>
      </c>
      <c r="B44" s="503"/>
      <c r="C44" s="549"/>
      <c r="D44" s="118"/>
      <c r="E44" s="121"/>
      <c r="F44" s="495"/>
      <c r="G44" s="495"/>
      <c r="H44" s="114"/>
      <c r="I44" s="114"/>
    </row>
    <row r="45" spans="1:7" ht="12.75" customHeight="1">
      <c r="A45" s="34" t="s">
        <v>22</v>
      </c>
      <c r="B45" s="148" t="s">
        <v>188</v>
      </c>
      <c r="C45" s="149"/>
      <c r="D45" s="118"/>
      <c r="E45" s="118"/>
      <c r="F45" s="495">
        <f>E26*1%</f>
        <v>386.30230000000006</v>
      </c>
      <c r="G45" s="495"/>
    </row>
    <row r="46" spans="1:9" ht="12.75" customHeight="1">
      <c r="A46" s="67"/>
      <c r="B46" s="67"/>
      <c r="C46" s="67"/>
      <c r="D46" s="67"/>
      <c r="E46" s="67"/>
      <c r="F46" s="67"/>
      <c r="G46" s="67"/>
      <c r="H46" s="67"/>
      <c r="I46" s="67"/>
    </row>
    <row r="47" spans="1:6" s="67" customFormat="1" ht="15">
      <c r="A47" s="67" t="s">
        <v>55</v>
      </c>
      <c r="C47" s="67" t="s">
        <v>49</v>
      </c>
      <c r="F47" s="67" t="s">
        <v>90</v>
      </c>
    </row>
    <row r="48" s="67" customFormat="1" ht="15">
      <c r="F48" s="126" t="s">
        <v>545</v>
      </c>
    </row>
    <row r="49" s="67" customFormat="1" ht="13.5" customHeight="1">
      <c r="A49" s="67" t="s">
        <v>50</v>
      </c>
    </row>
    <row r="50" spans="3:7" s="67" customFormat="1" ht="15">
      <c r="C50" s="128" t="s">
        <v>51</v>
      </c>
      <c r="E50" s="128"/>
      <c r="F50" s="128"/>
      <c r="G50" s="128"/>
    </row>
    <row r="51" s="67" customFormat="1" ht="12" customHeight="1"/>
    <row r="52" s="67" customFormat="1" ht="15"/>
    <row r="53" s="67" customFormat="1" ht="15"/>
  </sheetData>
  <sheetProtection/>
  <mergeCells count="20">
    <mergeCell ref="F43:G43"/>
    <mergeCell ref="F45:G45"/>
    <mergeCell ref="F44:G44"/>
    <mergeCell ref="B44:C44"/>
    <mergeCell ref="A1:I1"/>
    <mergeCell ref="A2:I2"/>
    <mergeCell ref="A5:I5"/>
    <mergeCell ref="A10:I10"/>
    <mergeCell ref="A3:K3"/>
    <mergeCell ref="A12:I12"/>
    <mergeCell ref="B41:C41"/>
    <mergeCell ref="A11:I11"/>
    <mergeCell ref="B42:C42"/>
    <mergeCell ref="B43:C43"/>
    <mergeCell ref="B40:C40"/>
    <mergeCell ref="F40:G40"/>
    <mergeCell ref="A33:C33"/>
    <mergeCell ref="A38:I38"/>
    <mergeCell ref="F41:G41"/>
    <mergeCell ref="F42:G42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K51"/>
  <sheetViews>
    <sheetView zoomScalePageLayoutView="0" workbookViewId="0" topLeftCell="A36">
      <selection activeCell="P49" sqref="P49"/>
    </sheetView>
  </sheetViews>
  <sheetFormatPr defaultColWidth="9.140625" defaultRowHeight="15" outlineLevelCol="1"/>
  <cols>
    <col min="1" max="1" width="4.7109375" style="35" customWidth="1"/>
    <col min="2" max="2" width="42.8515625" style="35" customWidth="1"/>
    <col min="3" max="4" width="13.57421875" style="35" customWidth="1"/>
    <col min="5" max="5" width="12.140625" style="35" customWidth="1"/>
    <col min="6" max="6" width="12.7109375" style="35" customWidth="1"/>
    <col min="7" max="7" width="13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6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6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6.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5.25" customHeight="1"/>
    <row r="7" spans="1:6" s="67" customFormat="1" ht="16.5" customHeight="1">
      <c r="A7" s="67" t="s">
        <v>2</v>
      </c>
      <c r="F7" s="126" t="s">
        <v>76</v>
      </c>
    </row>
    <row r="8" spans="1:6" s="67" customFormat="1" ht="15">
      <c r="A8" s="67" t="s">
        <v>3</v>
      </c>
      <c r="F8" s="291" t="s">
        <v>77</v>
      </c>
    </row>
    <row r="9" s="67" customFormat="1" ht="6.75" customHeight="1"/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430</v>
      </c>
      <c r="B14" s="64"/>
      <c r="C14" s="64"/>
      <c r="D14" s="69"/>
      <c r="E14" s="70"/>
      <c r="F14" s="70"/>
      <c r="G14" s="144">
        <f>'[2]Пухова 15'!$G$36</f>
        <v>5572.86</v>
      </c>
      <c r="H14" s="62"/>
      <c r="I14" s="62"/>
    </row>
    <row r="15" spans="1:9" s="67" customFormat="1" ht="15.75" thickBot="1">
      <c r="A15" s="63" t="s">
        <v>431</v>
      </c>
      <c r="B15" s="64"/>
      <c r="C15" s="64"/>
      <c r="D15" s="69"/>
      <c r="E15" s="70"/>
      <c r="F15" s="70"/>
      <c r="G15" s="144">
        <f>'[2]Пухова 15'!$G$37</f>
        <v>-23839.388400000007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67" customFormat="1" ht="29.25">
      <c r="A18" s="75" t="s">
        <v>14</v>
      </c>
      <c r="B18" s="41" t="s">
        <v>15</v>
      </c>
      <c r="C18" s="135">
        <f>C19+C20+C21+C22+C23</f>
        <v>12.84</v>
      </c>
      <c r="D18" s="76">
        <v>56135.86</v>
      </c>
      <c r="E18" s="76">
        <v>54865.56</v>
      </c>
      <c r="F18" s="76">
        <f aca="true" t="shared" si="0" ref="F18:F23">D18</f>
        <v>56135.86</v>
      </c>
      <c r="G18" s="77">
        <f aca="true" t="shared" si="1" ref="G18:G23">D18-E18</f>
        <v>1270.300000000003</v>
      </c>
      <c r="H18" s="145">
        <f aca="true" t="shared" si="2" ref="H18:H23">C18</f>
        <v>12.84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15126.952928348908</v>
      </c>
      <c r="E19" s="83">
        <f>E18*I19</f>
        <v>14784.644672897195</v>
      </c>
      <c r="F19" s="83">
        <f t="shared" si="0"/>
        <v>15126.952928348908</v>
      </c>
      <c r="G19" s="84">
        <f t="shared" si="1"/>
        <v>342.3082554517132</v>
      </c>
      <c r="H19" s="145">
        <f t="shared" si="2"/>
        <v>3.46</v>
      </c>
      <c r="I19" s="67">
        <f>H19/H18</f>
        <v>0.26947040498442365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7388.598395638629</v>
      </c>
      <c r="E20" s="83">
        <f>E18*I20</f>
        <v>7221.4015887850455</v>
      </c>
      <c r="F20" s="83">
        <f t="shared" si="0"/>
        <v>7388.598395638629</v>
      </c>
      <c r="G20" s="84">
        <f t="shared" si="1"/>
        <v>167.19680685358344</v>
      </c>
      <c r="H20" s="145">
        <f t="shared" si="2"/>
        <v>1.69</v>
      </c>
      <c r="I20" s="67">
        <f>H20/H18</f>
        <v>0.13161993769470404</v>
      </c>
    </row>
    <row r="21" spans="1:9" s="67" customFormat="1" ht="15">
      <c r="A21" s="81" t="s">
        <v>20</v>
      </c>
      <c r="B21" s="34" t="s">
        <v>21</v>
      </c>
      <c r="C21" s="99">
        <v>1.15</v>
      </c>
      <c r="D21" s="83">
        <f>D18*I21</f>
        <v>5027.744470404984</v>
      </c>
      <c r="E21" s="83">
        <f>E18*I21</f>
        <v>4913.971495327102</v>
      </c>
      <c r="F21" s="83">
        <f t="shared" si="0"/>
        <v>5027.744470404984</v>
      </c>
      <c r="G21" s="84">
        <f t="shared" si="1"/>
        <v>113.77297507788171</v>
      </c>
      <c r="H21" s="145">
        <f t="shared" si="2"/>
        <v>1.15</v>
      </c>
      <c r="I21" s="67">
        <f>H21/H18</f>
        <v>0.0895638629283489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13290.733208722742</v>
      </c>
      <c r="E22" s="83">
        <f>E18*I22</f>
        <v>12989.976822429906</v>
      </c>
      <c r="F22" s="83">
        <f t="shared" si="0"/>
        <v>13290.733208722742</v>
      </c>
      <c r="G22" s="84">
        <f t="shared" si="1"/>
        <v>300.7563862928364</v>
      </c>
      <c r="H22" s="145">
        <f t="shared" si="2"/>
        <v>3.04</v>
      </c>
      <c r="I22" s="67">
        <f>H22/H18</f>
        <v>0.2367601246105919</v>
      </c>
    </row>
    <row r="23" spans="1:9" s="67" customFormat="1" ht="15">
      <c r="A23" s="81" t="s">
        <v>24</v>
      </c>
      <c r="B23" s="34" t="s">
        <v>180</v>
      </c>
      <c r="C23" s="99">
        <v>3.5</v>
      </c>
      <c r="D23" s="83">
        <f>I23*D18</f>
        <v>15301.830996884737</v>
      </c>
      <c r="E23" s="83">
        <f>I23*E18</f>
        <v>14955.565420560748</v>
      </c>
      <c r="F23" s="83">
        <f t="shared" si="0"/>
        <v>15301.830996884737</v>
      </c>
      <c r="G23" s="84">
        <f t="shared" si="1"/>
        <v>346.2655763239891</v>
      </c>
      <c r="H23" s="145">
        <f t="shared" si="2"/>
        <v>3.5</v>
      </c>
      <c r="I23" s="67">
        <f>H23/H18</f>
        <v>0.2725856697819315</v>
      </c>
    </row>
    <row r="24" spans="1:7" ht="15">
      <c r="A24" s="41" t="s">
        <v>25</v>
      </c>
      <c r="B24" s="140" t="s">
        <v>136</v>
      </c>
      <c r="C24" s="97">
        <v>0</v>
      </c>
      <c r="D24" s="77">
        <v>0</v>
      </c>
      <c r="E24" s="77">
        <v>0</v>
      </c>
      <c r="F24" s="77">
        <v>0</v>
      </c>
      <c r="G24" s="77">
        <f aca="true" t="shared" si="3" ref="G24:G29">D24-E24</f>
        <v>0</v>
      </c>
    </row>
    <row r="25" spans="1:7" ht="15">
      <c r="A25" s="41" t="s">
        <v>27</v>
      </c>
      <c r="B25" s="140" t="s">
        <v>28</v>
      </c>
      <c r="C25" s="97">
        <v>0</v>
      </c>
      <c r="D25" s="77">
        <v>0</v>
      </c>
      <c r="E25" s="77">
        <v>0</v>
      </c>
      <c r="F25" s="77">
        <f>D25</f>
        <v>0</v>
      </c>
      <c r="G25" s="77">
        <f t="shared" si="3"/>
        <v>0</v>
      </c>
    </row>
    <row r="26" spans="1:7" ht="15">
      <c r="A26" s="41" t="s">
        <v>29</v>
      </c>
      <c r="B26" s="140" t="s">
        <v>161</v>
      </c>
      <c r="C26" s="141">
        <v>12.54</v>
      </c>
      <c r="D26" s="77">
        <v>0</v>
      </c>
      <c r="E26" s="77">
        <v>0</v>
      </c>
      <c r="F26" s="77">
        <f>D26</f>
        <v>0</v>
      </c>
      <c r="G26" s="77">
        <f t="shared" si="3"/>
        <v>0</v>
      </c>
    </row>
    <row r="27" spans="1:7" ht="15">
      <c r="A27" s="41" t="s">
        <v>31</v>
      </c>
      <c r="B27" s="140" t="s">
        <v>116</v>
      </c>
      <c r="C27" s="97">
        <v>1.66</v>
      </c>
      <c r="D27" s="77">
        <v>7406.4</v>
      </c>
      <c r="E27" s="77">
        <v>7242.6</v>
      </c>
      <c r="F27" s="87">
        <f>F43</f>
        <v>14072.426</v>
      </c>
      <c r="G27" s="77">
        <f t="shared" si="3"/>
        <v>163.79999999999927</v>
      </c>
    </row>
    <row r="28" spans="1:7" ht="15">
      <c r="A28" s="41" t="s">
        <v>33</v>
      </c>
      <c r="B28" s="134" t="s">
        <v>34</v>
      </c>
      <c r="C28" s="46">
        <v>0</v>
      </c>
      <c r="D28" s="77">
        <v>0</v>
      </c>
      <c r="E28" s="77">
        <v>0</v>
      </c>
      <c r="F28" s="87">
        <v>0</v>
      </c>
      <c r="G28" s="77">
        <f t="shared" si="3"/>
        <v>0</v>
      </c>
    </row>
    <row r="29" spans="1:7" ht="15">
      <c r="A29" s="41" t="s">
        <v>35</v>
      </c>
      <c r="B29" s="134" t="s">
        <v>36</v>
      </c>
      <c r="C29" s="97"/>
      <c r="D29" s="77">
        <f>SUM(D30:D33)</f>
        <v>35127.74</v>
      </c>
      <c r="E29" s="77">
        <f>SUM(E30:E33)</f>
        <v>34200.24</v>
      </c>
      <c r="F29" s="77">
        <f>SUM(F30:F33)</f>
        <v>35127.74</v>
      </c>
      <c r="G29" s="77">
        <f t="shared" si="3"/>
        <v>927.5</v>
      </c>
    </row>
    <row r="30" spans="1:7" ht="15">
      <c r="A30" s="34" t="s">
        <v>37</v>
      </c>
      <c r="B30" s="34" t="s">
        <v>165</v>
      </c>
      <c r="C30" s="285">
        <v>6</v>
      </c>
      <c r="D30" s="84">
        <v>7963.7</v>
      </c>
      <c r="E30" s="84">
        <v>7916.1</v>
      </c>
      <c r="F30" s="84">
        <f>D30</f>
        <v>7963.7</v>
      </c>
      <c r="G30" s="84">
        <f>D30-E30</f>
        <v>47.599999999999454</v>
      </c>
    </row>
    <row r="31" spans="1:7" ht="15">
      <c r="A31" s="34" t="s">
        <v>39</v>
      </c>
      <c r="B31" s="34" t="s">
        <v>137</v>
      </c>
      <c r="C31" s="285">
        <v>57.08</v>
      </c>
      <c r="D31" s="84">
        <v>27164.04</v>
      </c>
      <c r="E31" s="84">
        <v>26284.14</v>
      </c>
      <c r="F31" s="84">
        <f>D31</f>
        <v>27164.04</v>
      </c>
      <c r="G31" s="84">
        <f>D31-E31</f>
        <v>879.9000000000015</v>
      </c>
    </row>
    <row r="32" spans="1:7" ht="15">
      <c r="A32" s="34" t="s">
        <v>42</v>
      </c>
      <c r="B32" s="34" t="s">
        <v>40</v>
      </c>
      <c r="C32" s="193"/>
      <c r="D32" s="84">
        <v>0</v>
      </c>
      <c r="E32" s="84">
        <v>0</v>
      </c>
      <c r="F32" s="84">
        <f>D32</f>
        <v>0</v>
      </c>
      <c r="G32" s="84">
        <f>D32-E32</f>
        <v>0</v>
      </c>
    </row>
    <row r="33" spans="1:9" ht="15">
      <c r="A33" s="34" t="s">
        <v>41</v>
      </c>
      <c r="B33" s="34" t="s">
        <v>43</v>
      </c>
      <c r="C33" s="99"/>
      <c r="D33" s="84">
        <v>0</v>
      </c>
      <c r="E33" s="84">
        <v>0</v>
      </c>
      <c r="F33" s="84">
        <f>D33</f>
        <v>0</v>
      </c>
      <c r="G33" s="84">
        <f>D33-E33</f>
        <v>0</v>
      </c>
      <c r="H33" s="101"/>
      <c r="I33" s="101"/>
    </row>
    <row r="34" spans="1:9" ht="15.75" thickBot="1">
      <c r="A34" s="446" t="s">
        <v>294</v>
      </c>
      <c r="B34" s="447"/>
      <c r="C34" s="447"/>
      <c r="D34" s="448"/>
      <c r="E34" s="448"/>
      <c r="F34" s="448"/>
      <c r="G34" s="170"/>
      <c r="H34" s="101"/>
      <c r="I34" s="101"/>
    </row>
    <row r="35" spans="1:10" s="102" customFormat="1" ht="14.25" thickBot="1">
      <c r="A35" s="455" t="s">
        <v>413</v>
      </c>
      <c r="B35" s="456"/>
      <c r="C35" s="456"/>
      <c r="D35" s="65">
        <v>16214.57</v>
      </c>
      <c r="E35" s="66"/>
      <c r="F35" s="66"/>
      <c r="G35" s="66"/>
      <c r="H35" s="62"/>
      <c r="I35" s="62"/>
      <c r="J35" s="101"/>
    </row>
    <row r="36" spans="1:9" s="67" customFormat="1" ht="15.75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414</v>
      </c>
      <c r="B37" s="64"/>
      <c r="C37" s="64"/>
      <c r="D37" s="69"/>
      <c r="E37" s="70"/>
      <c r="F37" s="70"/>
      <c r="G37" s="144">
        <f>G14+E28-F28</f>
        <v>5572.86</v>
      </c>
      <c r="H37" s="62"/>
      <c r="I37" s="62"/>
    </row>
    <row r="38" spans="1:9" s="67" customFormat="1" ht="15.75" thickBot="1">
      <c r="A38" s="63" t="s">
        <v>415</v>
      </c>
      <c r="B38" s="64"/>
      <c r="C38" s="64"/>
      <c r="D38" s="69"/>
      <c r="E38" s="70"/>
      <c r="F38" s="70"/>
      <c r="G38" s="144">
        <f>G15+E27-F27</f>
        <v>-30669.214400000004</v>
      </c>
      <c r="H38" s="62"/>
      <c r="I38" s="62"/>
    </row>
    <row r="39" spans="1:9" s="67" customFormat="1" ht="15">
      <c r="A39" s="68"/>
      <c r="B39" s="68"/>
      <c r="C39" s="68"/>
      <c r="D39" s="40"/>
      <c r="E39" s="66"/>
      <c r="F39" s="66"/>
      <c r="G39" s="40"/>
      <c r="H39" s="62"/>
      <c r="I39" s="62"/>
    </row>
    <row r="40" spans="1:9" s="67" customFormat="1" ht="24.75" customHeight="1">
      <c r="A40" s="537" t="s">
        <v>44</v>
      </c>
      <c r="B40" s="537"/>
      <c r="C40" s="537"/>
      <c r="D40" s="537"/>
      <c r="E40" s="537"/>
      <c r="F40" s="537"/>
      <c r="G40" s="537"/>
      <c r="H40" s="537"/>
      <c r="I40" s="537"/>
    </row>
    <row r="41" ht="4.5" customHeight="1"/>
    <row r="42" spans="1:9" ht="26.25" customHeight="1">
      <c r="A42" s="105" t="s">
        <v>11</v>
      </c>
      <c r="B42" s="471" t="s">
        <v>45</v>
      </c>
      <c r="C42" s="484"/>
      <c r="D42" s="105" t="s">
        <v>163</v>
      </c>
      <c r="E42" s="105" t="s">
        <v>162</v>
      </c>
      <c r="F42" s="471" t="s">
        <v>46</v>
      </c>
      <c r="G42" s="484"/>
      <c r="H42" s="171"/>
      <c r="I42" s="171"/>
    </row>
    <row r="43" spans="1:9" ht="15">
      <c r="A43" s="109" t="s">
        <v>47</v>
      </c>
      <c r="B43" s="473" t="s">
        <v>111</v>
      </c>
      <c r="C43" s="491"/>
      <c r="D43" s="110"/>
      <c r="E43" s="110"/>
      <c r="F43" s="496">
        <f>SUM(F44:G46)</f>
        <v>14072.426</v>
      </c>
      <c r="G43" s="483"/>
      <c r="H43" s="114"/>
      <c r="I43" s="114"/>
    </row>
    <row r="44" spans="1:9" ht="13.5" customHeight="1">
      <c r="A44" s="34" t="s">
        <v>16</v>
      </c>
      <c r="B44" s="462" t="s">
        <v>168</v>
      </c>
      <c r="C44" s="498"/>
      <c r="D44" s="427"/>
      <c r="E44" s="406"/>
      <c r="F44" s="482">
        <v>14000</v>
      </c>
      <c r="G44" s="482"/>
      <c r="H44" s="114"/>
      <c r="I44" s="114"/>
    </row>
    <row r="45" spans="1:9" ht="13.5" customHeight="1">
      <c r="A45" s="34" t="s">
        <v>18</v>
      </c>
      <c r="B45" s="449"/>
      <c r="C45" s="641"/>
      <c r="D45" s="110"/>
      <c r="E45" s="152"/>
      <c r="F45" s="490"/>
      <c r="G45" s="490"/>
      <c r="H45" s="114"/>
      <c r="I45" s="114"/>
    </row>
    <row r="46" spans="1:9" s="171" customFormat="1" ht="15">
      <c r="A46" s="34" t="s">
        <v>20</v>
      </c>
      <c r="B46" s="148" t="s">
        <v>188</v>
      </c>
      <c r="C46" s="149"/>
      <c r="D46" s="118"/>
      <c r="E46" s="118"/>
      <c r="F46" s="550">
        <f>E27*1%</f>
        <v>72.426</v>
      </c>
      <c r="G46" s="550"/>
      <c r="H46" s="35"/>
      <c r="I46" s="35"/>
    </row>
    <row r="47" spans="1:9" s="114" customFormat="1" ht="14.25" customHeight="1">
      <c r="A47" s="67"/>
      <c r="B47" s="67"/>
      <c r="C47" s="67"/>
      <c r="D47" s="67"/>
      <c r="E47" s="67"/>
      <c r="F47" s="67"/>
      <c r="G47" s="67"/>
      <c r="H47" s="67"/>
      <c r="I47" s="67"/>
    </row>
    <row r="48" spans="1:9" ht="14.25" customHeight="1">
      <c r="A48" s="67" t="s">
        <v>55</v>
      </c>
      <c r="B48" s="67"/>
      <c r="C48" s="67" t="s">
        <v>49</v>
      </c>
      <c r="D48" s="67"/>
      <c r="E48" s="67"/>
      <c r="F48" s="67" t="s">
        <v>90</v>
      </c>
      <c r="G48" s="67"/>
      <c r="H48" s="67"/>
      <c r="I48" s="67"/>
    </row>
    <row r="49" spans="1:9" ht="14.25" customHeight="1">
      <c r="A49" s="67"/>
      <c r="B49" s="67"/>
      <c r="C49" s="67"/>
      <c r="D49" s="67"/>
      <c r="E49" s="67"/>
      <c r="F49" s="126" t="s">
        <v>545</v>
      </c>
      <c r="G49" s="67"/>
      <c r="H49" s="67"/>
      <c r="I49" s="67"/>
    </row>
    <row r="50" spans="1:9" ht="14.25" customHeight="1">
      <c r="A50" s="67" t="s">
        <v>50</v>
      </c>
      <c r="B50" s="67"/>
      <c r="C50" s="67"/>
      <c r="D50" s="67"/>
      <c r="E50" s="67"/>
      <c r="F50" s="67"/>
      <c r="G50" s="67"/>
      <c r="H50" s="67"/>
      <c r="I50" s="67"/>
    </row>
    <row r="51" spans="3:7" s="67" customFormat="1" ht="15">
      <c r="C51" s="128" t="s">
        <v>51</v>
      </c>
      <c r="E51" s="128"/>
      <c r="F51" s="128"/>
      <c r="G51" s="128"/>
    </row>
    <row r="52" s="67" customFormat="1" ht="15"/>
  </sheetData>
  <sheetProtection/>
  <mergeCells count="19">
    <mergeCell ref="F45:G45"/>
    <mergeCell ref="F46:G46"/>
    <mergeCell ref="A35:C35"/>
    <mergeCell ref="A40:I40"/>
    <mergeCell ref="B42:C42"/>
    <mergeCell ref="F42:G42"/>
    <mergeCell ref="B43:C43"/>
    <mergeCell ref="F43:G43"/>
    <mergeCell ref="B44:C44"/>
    <mergeCell ref="F44:G44"/>
    <mergeCell ref="B45:C45"/>
    <mergeCell ref="A34:F34"/>
    <mergeCell ref="A12:I12"/>
    <mergeCell ref="A11:I11"/>
    <mergeCell ref="A1:I1"/>
    <mergeCell ref="A2:I2"/>
    <mergeCell ref="A5:I5"/>
    <mergeCell ref="A10:I10"/>
    <mergeCell ref="A3:K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P55"/>
  <sheetViews>
    <sheetView zoomScale="98" zoomScaleNormal="98" zoomScalePageLayoutView="0" workbookViewId="0" topLeftCell="A43">
      <selection activeCell="A51" sqref="A51"/>
    </sheetView>
  </sheetViews>
  <sheetFormatPr defaultColWidth="9.140625" defaultRowHeight="15" outlineLevelCol="1"/>
  <cols>
    <col min="1" max="1" width="5.00390625" style="35" customWidth="1"/>
    <col min="2" max="2" width="47.28125" style="35" customWidth="1"/>
    <col min="3" max="3" width="13.57421875" style="35" customWidth="1"/>
    <col min="4" max="4" width="13.7109375" style="35" customWidth="1"/>
    <col min="5" max="5" width="13.57421875" style="35" customWidth="1"/>
    <col min="6" max="6" width="14.140625" style="35" customWidth="1"/>
    <col min="7" max="7" width="13.421875" style="35" customWidth="1"/>
    <col min="8" max="8" width="10.421875" style="35" hidden="1" customWidth="1" outlineLevel="1"/>
    <col min="9" max="9" width="12.28125" style="35" hidden="1" customWidth="1" outlineLevel="1"/>
    <col min="10" max="12" width="9.140625" style="35" hidden="1" customWidth="1" outlineLevel="1"/>
    <col min="13" max="13" width="9.140625" style="35" customWidth="1" collapsed="1"/>
    <col min="14" max="14" width="9.140625" style="35" customWidth="1"/>
    <col min="15" max="15" width="13.28125" style="35" customWidth="1"/>
    <col min="16" max="16" width="11.421875" style="35" bestFit="1" customWidth="1"/>
    <col min="17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5.2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4.5" customHeight="1"/>
    <row r="7" spans="1:6" s="67" customFormat="1" ht="16.5" customHeight="1">
      <c r="A7" s="67" t="s">
        <v>2</v>
      </c>
      <c r="F7" s="126" t="s">
        <v>78</v>
      </c>
    </row>
    <row r="8" spans="1:16" s="67" customFormat="1" ht="15">
      <c r="A8" s="67" t="s">
        <v>3</v>
      </c>
      <c r="F8" s="291" t="s">
        <v>352</v>
      </c>
      <c r="H8" s="67" t="s">
        <v>232</v>
      </c>
      <c r="I8" s="199">
        <v>129.5</v>
      </c>
      <c r="J8" s="199">
        <v>3217.3</v>
      </c>
      <c r="K8" s="199">
        <f>I8+J8</f>
        <v>3346.8</v>
      </c>
      <c r="P8" s="125"/>
    </row>
    <row r="9" spans="2:6" s="67" customFormat="1" ht="15.75" customHeight="1">
      <c r="B9" s="67" t="s">
        <v>507</v>
      </c>
      <c r="F9" s="291" t="s">
        <v>509</v>
      </c>
    </row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'[2]Пухова 17'!$G$37</f>
        <v>38596.57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'[2]Пухова 17'!$G$38</f>
        <v>-192702.92889999997</v>
      </c>
      <c r="H15" s="62"/>
      <c r="I15" s="62"/>
    </row>
    <row r="16" s="67" customFormat="1" ht="6.75" customHeight="1"/>
    <row r="17" spans="1:7" s="74" customFormat="1" ht="52.5" customHeight="1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67" customFormat="1" ht="29.25">
      <c r="A18" s="75" t="s">
        <v>14</v>
      </c>
      <c r="B18" s="41" t="s">
        <v>15</v>
      </c>
      <c r="C18" s="135">
        <f>C19+C20+C21+C22</f>
        <v>9.879999999999999</v>
      </c>
      <c r="D18" s="76">
        <v>394233.44</v>
      </c>
      <c r="E18" s="76">
        <v>385062.04</v>
      </c>
      <c r="F18" s="76">
        <f aca="true" t="shared" si="0" ref="F18:F25">D18</f>
        <v>394233.44</v>
      </c>
      <c r="G18" s="77">
        <f>D18-E18</f>
        <v>9171.400000000023</v>
      </c>
      <c r="H18" s="145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138061.508340081</v>
      </c>
      <c r="E19" s="83">
        <f>E18*I19</f>
        <v>134849.66178137652</v>
      </c>
      <c r="F19" s="83">
        <f t="shared" si="0"/>
        <v>138061.508340081</v>
      </c>
      <c r="G19" s="84">
        <f>D19-E19</f>
        <v>3211.8465587044775</v>
      </c>
      <c r="H19" s="145">
        <f>C19</f>
        <v>3.46</v>
      </c>
      <c r="I19" s="67">
        <f>H19/H18</f>
        <v>0.3502024291497976</v>
      </c>
    </row>
    <row r="20" spans="1:9" s="67" customFormat="1" ht="15" customHeight="1">
      <c r="A20" s="81" t="s">
        <v>18</v>
      </c>
      <c r="B20" s="34" t="s">
        <v>19</v>
      </c>
      <c r="C20" s="99">
        <v>1.69</v>
      </c>
      <c r="D20" s="83">
        <f>D18*I20</f>
        <v>67434.66736842105</v>
      </c>
      <c r="E20" s="83">
        <f>E18*I20</f>
        <v>65865.8752631579</v>
      </c>
      <c r="F20" s="83">
        <f t="shared" si="0"/>
        <v>67434.66736842105</v>
      </c>
      <c r="G20" s="84">
        <f>D20-E20</f>
        <v>1568.7921052631573</v>
      </c>
      <c r="H20" s="145">
        <f>C20</f>
        <v>1.69</v>
      </c>
      <c r="I20" s="67">
        <f>H20/H18</f>
        <v>0.17105263157894737</v>
      </c>
    </row>
    <row r="21" spans="1:9" s="67" customFormat="1" ht="15" customHeight="1">
      <c r="A21" s="81" t="s">
        <v>20</v>
      </c>
      <c r="B21" s="34" t="s">
        <v>21</v>
      </c>
      <c r="C21" s="99">
        <v>1.69</v>
      </c>
      <c r="D21" s="83">
        <f>D18*I21</f>
        <v>67434.66736842105</v>
      </c>
      <c r="E21" s="83">
        <f>E18*I21</f>
        <v>65865.8752631579</v>
      </c>
      <c r="F21" s="83">
        <f t="shared" si="0"/>
        <v>67434.66736842105</v>
      </c>
      <c r="G21" s="84">
        <f>D21-E21</f>
        <v>1568.7921052631573</v>
      </c>
      <c r="H21" s="145">
        <f>C21</f>
        <v>1.69</v>
      </c>
      <c r="I21" s="67">
        <f>H21/H18</f>
        <v>0.17105263157894737</v>
      </c>
    </row>
    <row r="22" spans="1:9" s="67" customFormat="1" ht="15" customHeight="1">
      <c r="A22" s="81" t="s">
        <v>22</v>
      </c>
      <c r="B22" s="34" t="s">
        <v>23</v>
      </c>
      <c r="C22" s="99">
        <v>3.04</v>
      </c>
      <c r="D22" s="83">
        <f>D18*I22</f>
        <v>121302.59692307693</v>
      </c>
      <c r="E22" s="83">
        <f>E18*I22</f>
        <v>118480.6276923077</v>
      </c>
      <c r="F22" s="83">
        <f t="shared" si="0"/>
        <v>121302.59692307693</v>
      </c>
      <c r="G22" s="84">
        <f>D22-E22</f>
        <v>2821.969230769231</v>
      </c>
      <c r="H22" s="145">
        <f>C22</f>
        <v>3.04</v>
      </c>
      <c r="I22" s="67">
        <f>H22/H18</f>
        <v>0.3076923076923077</v>
      </c>
    </row>
    <row r="23" spans="1:9" ht="25.5" customHeight="1">
      <c r="A23" s="41" t="s">
        <v>25</v>
      </c>
      <c r="B23" s="86" t="s">
        <v>462</v>
      </c>
      <c r="C23" s="46" t="s">
        <v>432</v>
      </c>
      <c r="D23" s="77">
        <v>117300</v>
      </c>
      <c r="E23" s="77">
        <v>112194.97</v>
      </c>
      <c r="F23" s="77">
        <f>D23</f>
        <v>117300</v>
      </c>
      <c r="G23" s="77">
        <f aca="true" t="shared" si="1" ref="G23:G33">D23-E23</f>
        <v>5105.029999999999</v>
      </c>
      <c r="H23" s="35">
        <f>68*235</f>
        <v>15980</v>
      </c>
      <c r="I23" s="35">
        <f>D23/H23</f>
        <v>7.340425531914893</v>
      </c>
    </row>
    <row r="24" spans="1:7" ht="15" customHeight="1">
      <c r="A24" s="41" t="s">
        <v>27</v>
      </c>
      <c r="B24" s="140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ht="15" customHeight="1">
      <c r="A25" s="41" t="s">
        <v>29</v>
      </c>
      <c r="B25" s="140" t="s">
        <v>161</v>
      </c>
      <c r="C25" s="200" t="s">
        <v>297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</row>
    <row r="26" spans="1:13" ht="15" customHeight="1">
      <c r="A26" s="41" t="s">
        <v>31</v>
      </c>
      <c r="B26" s="140" t="s">
        <v>116</v>
      </c>
      <c r="C26" s="97">
        <v>3</v>
      </c>
      <c r="D26" s="77">
        <v>115822.8</v>
      </c>
      <c r="E26" s="77">
        <v>113114.38</v>
      </c>
      <c r="F26" s="87">
        <f>F46</f>
        <v>8181.1438</v>
      </c>
      <c r="G26" s="77">
        <f t="shared" si="1"/>
        <v>2708.4199999999983</v>
      </c>
      <c r="M26" s="159"/>
    </row>
    <row r="27" spans="1:7" ht="15" customHeight="1">
      <c r="A27" s="41" t="s">
        <v>33</v>
      </c>
      <c r="B27" s="134" t="s">
        <v>34</v>
      </c>
      <c r="C27" s="46">
        <v>0</v>
      </c>
      <c r="D27" s="77">
        <v>0</v>
      </c>
      <c r="E27" s="77">
        <v>0</v>
      </c>
      <c r="F27" s="87">
        <v>0</v>
      </c>
      <c r="G27" s="77">
        <f t="shared" si="1"/>
        <v>0</v>
      </c>
    </row>
    <row r="28" spans="1:7" ht="15" customHeight="1">
      <c r="A28" s="41" t="s">
        <v>35</v>
      </c>
      <c r="B28" s="134" t="s">
        <v>36</v>
      </c>
      <c r="C28" s="97"/>
      <c r="D28" s="77">
        <f>SUM(D29:D32)</f>
        <v>1533151.4</v>
      </c>
      <c r="E28" s="77">
        <f>SUM(E29:E32)</f>
        <v>1517764.05</v>
      </c>
      <c r="F28" s="77">
        <f>SUM(F29:F32)</f>
        <v>1533151.4</v>
      </c>
      <c r="G28" s="77">
        <f t="shared" si="1"/>
        <v>15387.34999999986</v>
      </c>
    </row>
    <row r="29" spans="1:7" ht="15" customHeight="1">
      <c r="A29" s="34" t="s">
        <v>37</v>
      </c>
      <c r="B29" s="34" t="s">
        <v>165</v>
      </c>
      <c r="C29" s="285">
        <v>6</v>
      </c>
      <c r="D29" s="84">
        <v>40039.8</v>
      </c>
      <c r="E29" s="84">
        <v>39201.93</v>
      </c>
      <c r="F29" s="84">
        <f>D29</f>
        <v>40039.8</v>
      </c>
      <c r="G29" s="84">
        <f t="shared" si="1"/>
        <v>837.8700000000026</v>
      </c>
    </row>
    <row r="30" spans="1:7" ht="15">
      <c r="A30" s="34" t="s">
        <v>39</v>
      </c>
      <c r="B30" s="34" t="s">
        <v>137</v>
      </c>
      <c r="C30" s="285">
        <v>57.08</v>
      </c>
      <c r="D30" s="84">
        <v>496083.47</v>
      </c>
      <c r="E30" s="84">
        <v>491215.58</v>
      </c>
      <c r="F30" s="84">
        <f>D30</f>
        <v>496083.47</v>
      </c>
      <c r="G30" s="84">
        <f t="shared" si="1"/>
        <v>4867.889999999956</v>
      </c>
    </row>
    <row r="31" spans="1:7" ht="15">
      <c r="A31" s="34" t="s">
        <v>42</v>
      </c>
      <c r="B31" s="34" t="s">
        <v>40</v>
      </c>
      <c r="C31" s="286"/>
      <c r="D31" s="84">
        <v>0</v>
      </c>
      <c r="E31" s="84">
        <v>0</v>
      </c>
      <c r="F31" s="84">
        <f>D31</f>
        <v>0</v>
      </c>
      <c r="G31" s="84">
        <f t="shared" si="1"/>
        <v>0</v>
      </c>
    </row>
    <row r="32" spans="1:9" ht="15">
      <c r="A32" s="34" t="s">
        <v>41</v>
      </c>
      <c r="B32" s="34" t="s">
        <v>43</v>
      </c>
      <c r="C32" s="285">
        <v>2638.8</v>
      </c>
      <c r="D32" s="84">
        <v>997028.13</v>
      </c>
      <c r="E32" s="84">
        <v>987346.54</v>
      </c>
      <c r="F32" s="84">
        <f>D32</f>
        <v>997028.13</v>
      </c>
      <c r="G32" s="84">
        <f t="shared" si="1"/>
        <v>9681.589999999967</v>
      </c>
      <c r="H32" s="101"/>
      <c r="I32" s="101"/>
    </row>
    <row r="33" spans="1:9" ht="15">
      <c r="A33" s="191" t="s">
        <v>271</v>
      </c>
      <c r="B33" s="327" t="s">
        <v>275</v>
      </c>
      <c r="C33" s="285"/>
      <c r="D33" s="287">
        <f>(500*12)+(500*12)+(500*12)</f>
        <v>18000</v>
      </c>
      <c r="E33" s="287">
        <v>9303</v>
      </c>
      <c r="F33" s="315">
        <v>0</v>
      </c>
      <c r="G33" s="287">
        <f t="shared" si="1"/>
        <v>8697</v>
      </c>
      <c r="H33" s="101"/>
      <c r="I33" s="101"/>
    </row>
    <row r="34" spans="1:9" ht="15">
      <c r="A34" s="191"/>
      <c r="B34" s="419"/>
      <c r="C34" s="487" t="s">
        <v>557</v>
      </c>
      <c r="D34" s="488"/>
      <c r="E34" s="488"/>
      <c r="F34" s="488"/>
      <c r="G34" s="424">
        <f>E33-(E33*15%)</f>
        <v>7907.55</v>
      </c>
      <c r="H34" s="101"/>
      <c r="I34" s="101"/>
    </row>
    <row r="35" spans="1:9" ht="15.75" thickBot="1">
      <c r="A35" s="446" t="s">
        <v>294</v>
      </c>
      <c r="B35" s="447"/>
      <c r="C35" s="447"/>
      <c r="D35" s="448"/>
      <c r="E35" s="448"/>
      <c r="F35" s="448"/>
      <c r="G35" s="170"/>
      <c r="H35" s="101"/>
      <c r="I35" s="101"/>
    </row>
    <row r="36" spans="1:10" s="102" customFormat="1" ht="14.25" thickBot="1">
      <c r="A36" s="455" t="s">
        <v>413</v>
      </c>
      <c r="B36" s="456"/>
      <c r="C36" s="456"/>
      <c r="D36" s="65">
        <v>466948.79</v>
      </c>
      <c r="E36" s="66"/>
      <c r="F36" s="66"/>
      <c r="G36" s="66"/>
      <c r="H36" s="62"/>
      <c r="I36" s="62"/>
      <c r="J36" s="101"/>
    </row>
    <row r="37" spans="1:9" s="67" customFormat="1" ht="10.5" customHeight="1" thickBot="1">
      <c r="A37" s="68"/>
      <c r="B37" s="68"/>
      <c r="C37" s="68"/>
      <c r="D37" s="40"/>
      <c r="E37" s="66"/>
      <c r="F37" s="66"/>
      <c r="G37" s="66"/>
      <c r="H37" s="62"/>
      <c r="I37" s="62"/>
    </row>
    <row r="38" spans="1:9" s="67" customFormat="1" ht="15.75" thickBot="1">
      <c r="A38" s="63" t="s">
        <v>414</v>
      </c>
      <c r="B38" s="64"/>
      <c r="C38" s="64"/>
      <c r="D38" s="69"/>
      <c r="E38" s="70"/>
      <c r="F38" s="70"/>
      <c r="G38" s="144">
        <f>G14+E27-F27</f>
        <v>38596.57</v>
      </c>
      <c r="H38" s="62"/>
      <c r="I38" s="62"/>
    </row>
    <row r="39" spans="1:9" s="67" customFormat="1" ht="15.75" thickBot="1">
      <c r="A39" s="63" t="s">
        <v>415</v>
      </c>
      <c r="B39" s="64"/>
      <c r="C39" s="64"/>
      <c r="D39" s="69"/>
      <c r="E39" s="70"/>
      <c r="F39" s="70"/>
      <c r="G39" s="144">
        <f>G15+E26-F26</f>
        <v>-87769.69269999997</v>
      </c>
      <c r="H39" s="62"/>
      <c r="I39" s="62"/>
    </row>
    <row r="40" spans="1:9" s="67" customFormat="1" ht="15">
      <c r="A40" s="516" t="s">
        <v>144</v>
      </c>
      <c r="B40" s="516"/>
      <c r="C40" s="68"/>
      <c r="D40" s="40"/>
      <c r="E40" s="66"/>
      <c r="F40" s="66"/>
      <c r="G40" s="40"/>
      <c r="H40" s="62"/>
      <c r="I40" s="62"/>
    </row>
    <row r="41" spans="1:9" s="67" customFormat="1" ht="15">
      <c r="A41" s="517" t="s">
        <v>145</v>
      </c>
      <c r="B41" s="518"/>
      <c r="C41" s="311" t="s">
        <v>146</v>
      </c>
      <c r="D41" s="311" t="s">
        <v>147</v>
      </c>
      <c r="E41" s="312" t="s">
        <v>148</v>
      </c>
      <c r="F41" s="313" t="s">
        <v>149</v>
      </c>
      <c r="G41" s="312" t="s">
        <v>150</v>
      </c>
      <c r="H41" s="62"/>
      <c r="I41" s="62"/>
    </row>
    <row r="42" spans="1:9" s="67" customFormat="1" ht="15">
      <c r="A42" s="519"/>
      <c r="B42" s="520"/>
      <c r="C42" s="294">
        <v>129.5</v>
      </c>
      <c r="D42" s="314">
        <f>E42/C42/12</f>
        <v>16.38</v>
      </c>
      <c r="E42" s="309">
        <v>25454.52</v>
      </c>
      <c r="F42" s="315">
        <v>25001.09</v>
      </c>
      <c r="G42" s="314">
        <f>E42-F42</f>
        <v>453.4300000000003</v>
      </c>
      <c r="H42" s="62"/>
      <c r="I42" s="62"/>
    </row>
    <row r="43" spans="1:9" s="67" customFormat="1" ht="25.5" customHeight="1">
      <c r="A43" s="537" t="s">
        <v>44</v>
      </c>
      <c r="B43" s="537"/>
      <c r="C43" s="537"/>
      <c r="D43" s="537"/>
      <c r="E43" s="537"/>
      <c r="F43" s="537"/>
      <c r="G43" s="537"/>
      <c r="H43" s="537"/>
      <c r="I43" s="537"/>
    </row>
    <row r="44" ht="24.75" customHeight="1"/>
    <row r="45" spans="1:9" ht="28.5">
      <c r="A45" s="105" t="s">
        <v>11</v>
      </c>
      <c r="B45" s="471" t="s">
        <v>45</v>
      </c>
      <c r="C45" s="484"/>
      <c r="D45" s="105" t="s">
        <v>163</v>
      </c>
      <c r="E45" s="105" t="s">
        <v>162</v>
      </c>
      <c r="F45" s="471" t="s">
        <v>46</v>
      </c>
      <c r="G45" s="484"/>
      <c r="H45" s="171"/>
      <c r="I45" s="171"/>
    </row>
    <row r="46" spans="1:9" s="171" customFormat="1" ht="15">
      <c r="A46" s="109" t="s">
        <v>47</v>
      </c>
      <c r="B46" s="473" t="s">
        <v>111</v>
      </c>
      <c r="C46" s="491"/>
      <c r="D46" s="110"/>
      <c r="E46" s="110"/>
      <c r="F46" s="496">
        <f>SUM(F47:G50)</f>
        <v>8181.1438</v>
      </c>
      <c r="G46" s="483"/>
      <c r="H46" s="114"/>
      <c r="I46" s="114"/>
    </row>
    <row r="47" spans="1:9" s="204" customFormat="1" ht="26.25">
      <c r="A47" s="201" t="s">
        <v>16</v>
      </c>
      <c r="B47" s="513" t="s">
        <v>326</v>
      </c>
      <c r="C47" s="514"/>
      <c r="D47" s="202"/>
      <c r="E47" s="348" t="s">
        <v>221</v>
      </c>
      <c r="F47" s="555">
        <v>4550</v>
      </c>
      <c r="G47" s="556"/>
      <c r="H47" s="203"/>
      <c r="I47" s="203"/>
    </row>
    <row r="48" spans="1:9" s="204" customFormat="1" ht="15">
      <c r="A48" s="201" t="s">
        <v>18</v>
      </c>
      <c r="B48" s="513" t="s">
        <v>579</v>
      </c>
      <c r="C48" s="514"/>
      <c r="D48" s="348"/>
      <c r="E48" s="348"/>
      <c r="F48" s="555">
        <v>2500</v>
      </c>
      <c r="G48" s="556"/>
      <c r="H48" s="203"/>
      <c r="I48" s="203"/>
    </row>
    <row r="49" spans="1:9" s="204" customFormat="1" ht="15">
      <c r="A49" s="201" t="s">
        <v>20</v>
      </c>
      <c r="B49" s="477"/>
      <c r="C49" s="492"/>
      <c r="D49" s="202"/>
      <c r="E49" s="202"/>
      <c r="F49" s="551"/>
      <c r="G49" s="552"/>
      <c r="H49" s="203"/>
      <c r="I49" s="203"/>
    </row>
    <row r="50" spans="1:9" s="114" customFormat="1" ht="13.5" customHeight="1">
      <c r="A50" s="139" t="s">
        <v>22</v>
      </c>
      <c r="B50" s="148" t="s">
        <v>188</v>
      </c>
      <c r="C50" s="149"/>
      <c r="D50" s="118"/>
      <c r="E50" s="118"/>
      <c r="F50" s="553">
        <f>E26*1%</f>
        <v>1131.1438</v>
      </c>
      <c r="G50" s="554"/>
      <c r="H50" s="35"/>
      <c r="I50" s="35"/>
    </row>
    <row r="51" spans="1:9" ht="13.5" customHeight="1">
      <c r="A51" s="67"/>
      <c r="B51" s="67"/>
      <c r="C51" s="67"/>
      <c r="D51" s="67"/>
      <c r="E51" s="67"/>
      <c r="F51" s="67"/>
      <c r="G51" s="67"/>
      <c r="H51" s="67"/>
      <c r="I51" s="67"/>
    </row>
    <row r="52" spans="1:9" ht="13.5" customHeight="1">
      <c r="A52" s="67" t="s">
        <v>55</v>
      </c>
      <c r="B52" s="67"/>
      <c r="C52" s="67" t="s">
        <v>49</v>
      </c>
      <c r="D52" s="67"/>
      <c r="E52" s="67"/>
      <c r="F52" s="67" t="s">
        <v>90</v>
      </c>
      <c r="G52" s="67"/>
      <c r="H52" s="67"/>
      <c r="I52" s="67"/>
    </row>
    <row r="53" spans="1:9" ht="13.5" customHeight="1">
      <c r="A53" s="67"/>
      <c r="B53" s="67"/>
      <c r="C53" s="67"/>
      <c r="D53" s="67"/>
      <c r="E53" s="67"/>
      <c r="F53" s="126" t="s">
        <v>545</v>
      </c>
      <c r="G53" s="67"/>
      <c r="H53" s="67"/>
      <c r="I53" s="67"/>
    </row>
    <row r="54" spans="1:9" ht="13.5" customHeight="1">
      <c r="A54" s="67" t="s">
        <v>50</v>
      </c>
      <c r="B54" s="67"/>
      <c r="C54" s="67"/>
      <c r="D54" s="67"/>
      <c r="E54" s="67"/>
      <c r="F54" s="67"/>
      <c r="G54" s="67"/>
      <c r="H54" s="67"/>
      <c r="I54" s="67"/>
    </row>
    <row r="55" spans="1:9" ht="13.5" customHeight="1">
      <c r="A55" s="67"/>
      <c r="B55" s="67"/>
      <c r="C55" s="128" t="s">
        <v>51</v>
      </c>
      <c r="D55" s="67"/>
      <c r="E55" s="128"/>
      <c r="F55" s="128"/>
      <c r="G55" s="128"/>
      <c r="H55" s="67"/>
      <c r="I55" s="67"/>
    </row>
  </sheetData>
  <sheetProtection/>
  <mergeCells count="24">
    <mergeCell ref="A1:I1"/>
    <mergeCell ref="A2:I2"/>
    <mergeCell ref="A5:I5"/>
    <mergeCell ref="A10:I10"/>
    <mergeCell ref="A3:K3"/>
    <mergeCell ref="B45:C45"/>
    <mergeCell ref="F45:G45"/>
    <mergeCell ref="A36:C36"/>
    <mergeCell ref="A12:I12"/>
    <mergeCell ref="A11:I11"/>
    <mergeCell ref="F50:G50"/>
    <mergeCell ref="B46:C46"/>
    <mergeCell ref="F48:G48"/>
    <mergeCell ref="B47:C47"/>
    <mergeCell ref="F47:G47"/>
    <mergeCell ref="F46:G46"/>
    <mergeCell ref="B48:C48"/>
    <mergeCell ref="C34:F34"/>
    <mergeCell ref="A43:I43"/>
    <mergeCell ref="A35:F35"/>
    <mergeCell ref="B49:C49"/>
    <mergeCell ref="F49:G49"/>
    <mergeCell ref="A40:B40"/>
    <mergeCell ref="A41:B4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M52"/>
  <sheetViews>
    <sheetView zoomScalePageLayoutView="0" workbookViewId="0" topLeftCell="A36">
      <selection activeCell="F45" sqref="F45:G45"/>
    </sheetView>
  </sheetViews>
  <sheetFormatPr defaultColWidth="9.140625" defaultRowHeight="15" outlineLevelCol="1"/>
  <cols>
    <col min="1" max="1" width="4.7109375" style="35" customWidth="1"/>
    <col min="2" max="2" width="48.421875" style="35" customWidth="1"/>
    <col min="3" max="3" width="13.140625" style="35" customWidth="1"/>
    <col min="4" max="4" width="14.00390625" style="35" customWidth="1"/>
    <col min="5" max="5" width="13.7109375" style="35" customWidth="1"/>
    <col min="6" max="6" width="12.710937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0.7109375" style="35" bestFit="1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5.7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3.7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2.7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4.5" customHeight="1"/>
    <row r="7" spans="1:6" s="67" customFormat="1" ht="16.5" customHeight="1">
      <c r="A7" s="67" t="s">
        <v>2</v>
      </c>
      <c r="F7" s="126" t="s">
        <v>79</v>
      </c>
    </row>
    <row r="8" spans="1:6" s="67" customFormat="1" ht="15">
      <c r="A8" s="67" t="s">
        <v>3</v>
      </c>
      <c r="F8" s="291" t="s">
        <v>301</v>
      </c>
    </row>
    <row r="9" s="67" customFormat="1" ht="4.5" customHeight="1"/>
    <row r="10" spans="1:9" s="67" customFormat="1" ht="14.25" customHeight="1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4.25" customHeight="1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'[2]Калинина 4'!$G$37</f>
        <v>21917.31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'[2]Калинина 4'!$G$38</f>
        <v>-218400.2095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67" customFormat="1" ht="15">
      <c r="A18" s="75" t="s">
        <v>14</v>
      </c>
      <c r="B18" s="41" t="s">
        <v>15</v>
      </c>
      <c r="C18" s="135">
        <f>C19+C20+C21+C22</f>
        <v>10.34</v>
      </c>
      <c r="D18" s="76">
        <v>368143.24</v>
      </c>
      <c r="E18" s="76">
        <v>370100.44</v>
      </c>
      <c r="F18" s="76">
        <f aca="true" t="shared" si="0" ref="F18:F24">D18</f>
        <v>368143.24</v>
      </c>
      <c r="G18" s="77">
        <f>D18-E18</f>
        <v>-1957.2000000000116</v>
      </c>
      <c r="H18" s="145">
        <f>C18</f>
        <v>10.34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123189.13059961316</v>
      </c>
      <c r="E19" s="83">
        <f>E18*I19</f>
        <v>123844.05439071568</v>
      </c>
      <c r="F19" s="83">
        <f t="shared" si="0"/>
        <v>123189.13059961316</v>
      </c>
      <c r="G19" s="84">
        <f>D19-E19</f>
        <v>-654.9237911025266</v>
      </c>
      <c r="H19" s="145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60170.41350096711</v>
      </c>
      <c r="E20" s="83">
        <f>E18*I20</f>
        <v>60490.304023210825</v>
      </c>
      <c r="F20" s="83">
        <f t="shared" si="0"/>
        <v>60170.41350096711</v>
      </c>
      <c r="G20" s="84">
        <f>D20-E20</f>
        <v>-319.890522243717</v>
      </c>
      <c r="H20" s="145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76548.15918762088</v>
      </c>
      <c r="E21" s="83">
        <f>E18*I21</f>
        <v>76955.12050290135</v>
      </c>
      <c r="F21" s="83">
        <f t="shared" si="0"/>
        <v>76548.15918762088</v>
      </c>
      <c r="G21" s="84">
        <f>D21-E21</f>
        <v>-406.9613152804668</v>
      </c>
      <c r="H21" s="145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108235.53671179884</v>
      </c>
      <c r="E22" s="83">
        <f>E18*I22</f>
        <v>108810.96108317215</v>
      </c>
      <c r="F22" s="83">
        <f t="shared" si="0"/>
        <v>108235.53671179884</v>
      </c>
      <c r="G22" s="84">
        <f>D22-E22</f>
        <v>-575.4243713733158</v>
      </c>
      <c r="H22" s="145">
        <f>C22</f>
        <v>3.04</v>
      </c>
      <c r="I22" s="67">
        <f>H22/H18</f>
        <v>0.2940038684719536</v>
      </c>
    </row>
    <row r="23" spans="1:9" ht="15">
      <c r="A23" s="41" t="s">
        <v>25</v>
      </c>
      <c r="B23" s="86" t="s">
        <v>462</v>
      </c>
      <c r="C23" s="141">
        <v>170</v>
      </c>
      <c r="D23" s="77">
        <v>106080</v>
      </c>
      <c r="E23" s="77">
        <v>105721.13</v>
      </c>
      <c r="F23" s="77">
        <f t="shared" si="0"/>
        <v>106080</v>
      </c>
      <c r="G23" s="77">
        <f aca="true" t="shared" si="1" ref="G23:G32">D23-E23</f>
        <v>358.86999999999534</v>
      </c>
      <c r="H23" s="35">
        <f>52*170</f>
        <v>8840</v>
      </c>
      <c r="I23" s="35">
        <f>D23/H23</f>
        <v>12</v>
      </c>
    </row>
    <row r="24" spans="1:7" ht="15">
      <c r="A24" s="41" t="s">
        <v>27</v>
      </c>
      <c r="B24" s="140" t="s">
        <v>28</v>
      </c>
      <c r="C24" s="141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13" ht="15">
      <c r="A25" s="41" t="s">
        <v>29</v>
      </c>
      <c r="B25" s="140" t="s">
        <v>161</v>
      </c>
      <c r="C25" s="141" t="s">
        <v>297</v>
      </c>
      <c r="D25" s="77">
        <v>0</v>
      </c>
      <c r="E25" s="77">
        <v>0</v>
      </c>
      <c r="F25" s="87">
        <v>0</v>
      </c>
      <c r="G25" s="77">
        <f t="shared" si="1"/>
        <v>0</v>
      </c>
      <c r="M25" s="159"/>
    </row>
    <row r="26" spans="1:7" ht="15">
      <c r="A26" s="41" t="s">
        <v>31</v>
      </c>
      <c r="B26" s="140" t="s">
        <v>116</v>
      </c>
      <c r="C26" s="141">
        <v>4.5</v>
      </c>
      <c r="D26" s="77">
        <v>154650.6</v>
      </c>
      <c r="E26" s="77">
        <v>154238.4</v>
      </c>
      <c r="F26" s="87">
        <f>F42</f>
        <v>46597.674</v>
      </c>
      <c r="G26" s="77">
        <f>D26-E26</f>
        <v>412.20000000001164</v>
      </c>
    </row>
    <row r="27" spans="1:13" ht="15">
      <c r="A27" s="41" t="s">
        <v>33</v>
      </c>
      <c r="B27" s="134" t="s">
        <v>34</v>
      </c>
      <c r="C27" s="135">
        <v>0</v>
      </c>
      <c r="D27" s="77">
        <v>0</v>
      </c>
      <c r="E27" s="77">
        <v>0</v>
      </c>
      <c r="F27" s="87">
        <v>0</v>
      </c>
      <c r="G27" s="77">
        <f t="shared" si="1"/>
        <v>0</v>
      </c>
      <c r="M27" s="159"/>
    </row>
    <row r="28" spans="1:7" ht="15">
      <c r="A28" s="41" t="s">
        <v>35</v>
      </c>
      <c r="B28" s="134" t="s">
        <v>36</v>
      </c>
      <c r="C28" s="135"/>
      <c r="D28" s="77">
        <f>SUM(D29:D32)</f>
        <v>1550718.5899999999</v>
      </c>
      <c r="E28" s="77">
        <f>SUM(E29:E32)</f>
        <v>1547384.7400000002</v>
      </c>
      <c r="F28" s="77">
        <f>SUM(F29:F32)</f>
        <v>1550718.5899999999</v>
      </c>
      <c r="G28" s="77">
        <f t="shared" si="1"/>
        <v>3333.8499999996275</v>
      </c>
    </row>
    <row r="29" spans="1:7" ht="15">
      <c r="A29" s="34" t="s">
        <v>37</v>
      </c>
      <c r="B29" s="34" t="s">
        <v>165</v>
      </c>
      <c r="C29" s="285">
        <v>6</v>
      </c>
      <c r="D29" s="84">
        <v>40404.16</v>
      </c>
      <c r="E29" s="84">
        <v>40326.2</v>
      </c>
      <c r="F29" s="84">
        <f>D29</f>
        <v>40404.16</v>
      </c>
      <c r="G29" s="84">
        <f t="shared" si="1"/>
        <v>77.9600000000064</v>
      </c>
    </row>
    <row r="30" spans="1:7" ht="15">
      <c r="A30" s="34" t="s">
        <v>39</v>
      </c>
      <c r="B30" s="34" t="s">
        <v>137</v>
      </c>
      <c r="C30" s="285">
        <v>57.08</v>
      </c>
      <c r="D30" s="84">
        <v>229369.65</v>
      </c>
      <c r="E30" s="84">
        <v>228925.14</v>
      </c>
      <c r="F30" s="84">
        <f>D30</f>
        <v>229369.65</v>
      </c>
      <c r="G30" s="84">
        <f t="shared" si="1"/>
        <v>444.5099999999802</v>
      </c>
    </row>
    <row r="31" spans="1:7" ht="15">
      <c r="A31" s="34" t="s">
        <v>42</v>
      </c>
      <c r="B31" s="34" t="s">
        <v>40</v>
      </c>
      <c r="C31" s="286">
        <v>211.65</v>
      </c>
      <c r="D31" s="84">
        <v>319933.44</v>
      </c>
      <c r="E31" s="84">
        <v>327269.53</v>
      </c>
      <c r="F31" s="84">
        <f>D31</f>
        <v>319933.44</v>
      </c>
      <c r="G31" s="84">
        <f t="shared" si="1"/>
        <v>-7336.090000000026</v>
      </c>
    </row>
    <row r="32" spans="1:9" ht="15">
      <c r="A32" s="34" t="s">
        <v>41</v>
      </c>
      <c r="B32" s="34" t="s">
        <v>43</v>
      </c>
      <c r="C32" s="285">
        <v>2638.8</v>
      </c>
      <c r="D32" s="84">
        <v>961011.34</v>
      </c>
      <c r="E32" s="84">
        <v>950863.87</v>
      </c>
      <c r="F32" s="84">
        <f>D32</f>
        <v>961011.34</v>
      </c>
      <c r="G32" s="84">
        <f t="shared" si="1"/>
        <v>10147.469999999972</v>
      </c>
      <c r="H32" s="101"/>
      <c r="I32" s="101"/>
    </row>
    <row r="33" spans="1:9" ht="15.75" thickBot="1">
      <c r="A33" s="446" t="s">
        <v>294</v>
      </c>
      <c r="B33" s="447"/>
      <c r="C33" s="447"/>
      <c r="D33" s="448"/>
      <c r="E33" s="448"/>
      <c r="F33" s="448"/>
      <c r="G33" s="170"/>
      <c r="H33" s="101"/>
      <c r="I33" s="101"/>
    </row>
    <row r="34" spans="1:10" s="102" customFormat="1" ht="14.25" thickBot="1">
      <c r="A34" s="455" t="s">
        <v>413</v>
      </c>
      <c r="B34" s="456"/>
      <c r="C34" s="456"/>
      <c r="D34" s="65">
        <v>408946.87</v>
      </c>
      <c r="E34" s="66"/>
      <c r="F34" s="66"/>
      <c r="G34" s="66"/>
      <c r="H34" s="62"/>
      <c r="I34" s="62"/>
      <c r="J34" s="101"/>
    </row>
    <row r="35" spans="1:9" s="67" customFormat="1" ht="9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414</v>
      </c>
      <c r="B36" s="64"/>
      <c r="C36" s="64"/>
      <c r="D36" s="69"/>
      <c r="E36" s="70"/>
      <c r="F36" s="70"/>
      <c r="G36" s="144">
        <f>G14+E26-F26</f>
        <v>129558.036</v>
      </c>
      <c r="H36" s="62"/>
      <c r="I36" s="62"/>
    </row>
    <row r="37" spans="1:13" s="67" customFormat="1" ht="15.75" thickBot="1">
      <c r="A37" s="63" t="s">
        <v>415</v>
      </c>
      <c r="B37" s="64"/>
      <c r="C37" s="64"/>
      <c r="D37" s="69"/>
      <c r="E37" s="70"/>
      <c r="F37" s="70"/>
      <c r="G37" s="144">
        <f>G15+E26-F26</f>
        <v>-110759.4835</v>
      </c>
      <c r="H37" s="62"/>
      <c r="I37" s="62"/>
      <c r="M37" s="145"/>
    </row>
    <row r="38" spans="1:9" s="67" customFormat="1" ht="9.75" customHeight="1">
      <c r="A38" s="68"/>
      <c r="B38" s="68"/>
      <c r="C38" s="68"/>
      <c r="D38" s="40"/>
      <c r="E38" s="66"/>
      <c r="F38" s="66"/>
      <c r="G38" s="40"/>
      <c r="H38" s="62"/>
      <c r="I38" s="62"/>
    </row>
    <row r="39" spans="1:9" s="67" customFormat="1" ht="28.5" customHeight="1">
      <c r="A39" s="537" t="s">
        <v>44</v>
      </c>
      <c r="B39" s="537"/>
      <c r="C39" s="537"/>
      <c r="D39" s="537"/>
      <c r="E39" s="537"/>
      <c r="F39" s="537"/>
      <c r="G39" s="537"/>
      <c r="H39" s="537"/>
      <c r="I39" s="537"/>
    </row>
    <row r="41" spans="1:9" ht="28.5">
      <c r="A41" s="105" t="s">
        <v>11</v>
      </c>
      <c r="B41" s="471" t="s">
        <v>45</v>
      </c>
      <c r="C41" s="484"/>
      <c r="D41" s="105" t="s">
        <v>163</v>
      </c>
      <c r="E41" s="105" t="s">
        <v>162</v>
      </c>
      <c r="F41" s="471" t="s">
        <v>46</v>
      </c>
      <c r="G41" s="484"/>
      <c r="H41" s="171"/>
      <c r="I41" s="171"/>
    </row>
    <row r="42" spans="1:9" s="171" customFormat="1" ht="15">
      <c r="A42" s="109" t="s">
        <v>47</v>
      </c>
      <c r="B42" s="473" t="s">
        <v>111</v>
      </c>
      <c r="C42" s="491"/>
      <c r="D42" s="110"/>
      <c r="E42" s="110"/>
      <c r="F42" s="496">
        <f>SUM(F43:L47)</f>
        <v>46597.674</v>
      </c>
      <c r="G42" s="483"/>
      <c r="H42" s="114"/>
      <c r="I42" s="114"/>
    </row>
    <row r="43" spans="1:9" s="205" customFormat="1" ht="15">
      <c r="A43" s="139" t="s">
        <v>16</v>
      </c>
      <c r="B43" s="513" t="s">
        <v>403</v>
      </c>
      <c r="C43" s="514"/>
      <c r="D43" s="348" t="s">
        <v>227</v>
      </c>
      <c r="E43" s="348">
        <v>0.14</v>
      </c>
      <c r="F43" s="555">
        <v>33855.29</v>
      </c>
      <c r="G43" s="558"/>
      <c r="H43" s="35"/>
      <c r="I43" s="35"/>
    </row>
    <row r="44" spans="1:9" s="205" customFormat="1" ht="15">
      <c r="A44" s="139" t="s">
        <v>18</v>
      </c>
      <c r="B44" s="477" t="s">
        <v>814</v>
      </c>
      <c r="C44" s="492"/>
      <c r="D44" s="202" t="s">
        <v>391</v>
      </c>
      <c r="E44" s="202">
        <v>4</v>
      </c>
      <c r="F44" s="551">
        <v>11200</v>
      </c>
      <c r="G44" s="557"/>
      <c r="H44" s="35"/>
      <c r="I44" s="35"/>
    </row>
    <row r="45" spans="1:9" s="205" customFormat="1" ht="14.25" customHeight="1">
      <c r="A45" s="139" t="s">
        <v>20</v>
      </c>
      <c r="B45" s="477"/>
      <c r="C45" s="492"/>
      <c r="D45" s="202"/>
      <c r="E45" s="202"/>
      <c r="F45" s="551"/>
      <c r="G45" s="557"/>
      <c r="H45" s="35"/>
      <c r="I45" s="35"/>
    </row>
    <row r="46" spans="1:9" s="205" customFormat="1" ht="15">
      <c r="A46" s="139" t="s">
        <v>22</v>
      </c>
      <c r="B46" s="477"/>
      <c r="C46" s="492"/>
      <c r="D46" s="202"/>
      <c r="E46" s="202"/>
      <c r="F46" s="551"/>
      <c r="G46" s="557"/>
      <c r="H46" s="35"/>
      <c r="I46" s="35"/>
    </row>
    <row r="47" spans="1:9" s="114" customFormat="1" ht="15">
      <c r="A47" s="139" t="s">
        <v>24</v>
      </c>
      <c r="B47" s="148" t="s">
        <v>188</v>
      </c>
      <c r="C47" s="149"/>
      <c r="D47" s="118"/>
      <c r="E47" s="118"/>
      <c r="F47" s="550">
        <f>E26*1%</f>
        <v>1542.384</v>
      </c>
      <c r="G47" s="550"/>
      <c r="H47" s="35"/>
      <c r="I47" s="35"/>
    </row>
    <row r="48" spans="1:9" ht="12.75" customHeight="1">
      <c r="A48" s="67"/>
      <c r="B48" s="67"/>
      <c r="C48" s="67"/>
      <c r="D48" s="67"/>
      <c r="E48" s="67"/>
      <c r="F48" s="67"/>
      <c r="G48" s="67"/>
      <c r="H48" s="67"/>
      <c r="I48" s="67"/>
    </row>
    <row r="49" spans="1:9" ht="12.75" customHeight="1">
      <c r="A49" s="67" t="s">
        <v>55</v>
      </c>
      <c r="B49" s="67"/>
      <c r="C49" s="67" t="s">
        <v>49</v>
      </c>
      <c r="D49" s="67"/>
      <c r="E49" s="67"/>
      <c r="F49" s="67" t="s">
        <v>90</v>
      </c>
      <c r="G49" s="67"/>
      <c r="H49" s="67"/>
      <c r="I49" s="67"/>
    </row>
    <row r="50" spans="1:9" ht="12.75" customHeight="1">
      <c r="A50" s="67"/>
      <c r="B50" s="67"/>
      <c r="C50" s="67"/>
      <c r="D50" s="67"/>
      <c r="E50" s="67"/>
      <c r="F50" s="126" t="s">
        <v>545</v>
      </c>
      <c r="G50" s="67"/>
      <c r="H50" s="67"/>
      <c r="I50" s="67"/>
    </row>
    <row r="51" spans="1:9" ht="12.75" customHeight="1">
      <c r="A51" s="67" t="s">
        <v>50</v>
      </c>
      <c r="B51" s="67"/>
      <c r="C51" s="67"/>
      <c r="D51" s="67"/>
      <c r="E51" s="67"/>
      <c r="F51" s="67"/>
      <c r="G51" s="67"/>
      <c r="H51" s="67"/>
      <c r="I51" s="67"/>
    </row>
    <row r="52" spans="1:9" ht="12.75" customHeight="1">
      <c r="A52" s="67"/>
      <c r="B52" s="67"/>
      <c r="C52" s="128" t="s">
        <v>51</v>
      </c>
      <c r="D52" s="67"/>
      <c r="E52" s="128"/>
      <c r="F52" s="128"/>
      <c r="G52" s="128"/>
      <c r="H52" s="67"/>
      <c r="I52" s="67"/>
    </row>
  </sheetData>
  <sheetProtection/>
  <mergeCells count="23">
    <mergeCell ref="A12:I12"/>
    <mergeCell ref="F42:G42"/>
    <mergeCell ref="A34:C34"/>
    <mergeCell ref="A39:I39"/>
    <mergeCell ref="B41:C41"/>
    <mergeCell ref="A33:F33"/>
    <mergeCell ref="F47:G47"/>
    <mergeCell ref="F45:G45"/>
    <mergeCell ref="F43:G43"/>
    <mergeCell ref="F44:G44"/>
    <mergeCell ref="B46:C46"/>
    <mergeCell ref="F46:G46"/>
    <mergeCell ref="B44:C44"/>
    <mergeCell ref="A1:I1"/>
    <mergeCell ref="A2:I2"/>
    <mergeCell ref="A5:I5"/>
    <mergeCell ref="A10:I10"/>
    <mergeCell ref="A3:K3"/>
    <mergeCell ref="B45:C45"/>
    <mergeCell ref="B42:C42"/>
    <mergeCell ref="B43:C43"/>
    <mergeCell ref="F41:G41"/>
    <mergeCell ref="A11:I1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V52"/>
  <sheetViews>
    <sheetView zoomScalePageLayoutView="0" workbookViewId="0" topLeftCell="A38">
      <selection activeCell="A38" sqref="A38:I38"/>
    </sheetView>
  </sheetViews>
  <sheetFormatPr defaultColWidth="9.140625" defaultRowHeight="15" outlineLevelCol="1"/>
  <cols>
    <col min="1" max="1" width="5.57421875" style="35" customWidth="1"/>
    <col min="2" max="2" width="51.00390625" style="35" customWidth="1"/>
    <col min="3" max="3" width="13.00390625" style="35" customWidth="1"/>
    <col min="4" max="4" width="12.8515625" style="35" customWidth="1"/>
    <col min="5" max="5" width="12.7109375" style="35" customWidth="1"/>
    <col min="6" max="6" width="14.0039062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21" width="9.140625" style="35" customWidth="1"/>
    <col min="22" max="22" width="11.421875" style="35" bestFit="1" customWidth="1"/>
    <col min="23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7.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5.7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6" customHeight="1"/>
    <row r="7" spans="1:9" s="67" customFormat="1" ht="16.5" customHeight="1">
      <c r="A7" s="67" t="s">
        <v>2</v>
      </c>
      <c r="F7" s="126" t="s">
        <v>231</v>
      </c>
      <c r="I7" s="199">
        <v>52.9</v>
      </c>
    </row>
    <row r="8" spans="1:11" s="67" customFormat="1" ht="15">
      <c r="A8" s="67" t="s">
        <v>3</v>
      </c>
      <c r="F8" s="291" t="s">
        <v>433</v>
      </c>
      <c r="I8" s="199">
        <v>78.3</v>
      </c>
      <c r="J8" s="199">
        <f>5152.8-2.3</f>
        <v>5150.5</v>
      </c>
      <c r="K8" s="125">
        <f>I8+J8+I7</f>
        <v>5281.7</v>
      </c>
    </row>
    <row r="9" spans="2:6" s="67" customFormat="1" ht="17.25" customHeight="1">
      <c r="B9" s="67" t="s">
        <v>507</v>
      </c>
      <c r="F9" s="291" t="s">
        <v>510</v>
      </c>
    </row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499</v>
      </c>
      <c r="B14" s="64"/>
      <c r="C14" s="64"/>
      <c r="D14" s="69"/>
      <c r="E14" s="70"/>
      <c r="F14" s="70"/>
      <c r="G14" s="144">
        <f>'[2]Тельмана 10'!$G$37</f>
        <v>0</v>
      </c>
      <c r="H14" s="62"/>
      <c r="I14" s="62"/>
    </row>
    <row r="15" spans="1:9" s="67" customFormat="1" ht="15.75" thickBot="1">
      <c r="A15" s="63" t="s">
        <v>457</v>
      </c>
      <c r="B15" s="64"/>
      <c r="C15" s="64"/>
      <c r="D15" s="69"/>
      <c r="E15" s="70"/>
      <c r="F15" s="70"/>
      <c r="G15" s="144">
        <f>'[2]Тельмана 10'!$G$38</f>
        <v>35785.0747</v>
      </c>
      <c r="H15" s="62"/>
      <c r="I15" s="62"/>
    </row>
    <row r="16" s="67" customFormat="1" ht="6.75" customHeight="1"/>
    <row r="17" spans="1:7" s="74" customFormat="1" ht="52.5" customHeight="1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67" customFormat="1" ht="15.75" customHeight="1">
      <c r="A18" s="75" t="s">
        <v>14</v>
      </c>
      <c r="B18" s="41" t="s">
        <v>15</v>
      </c>
      <c r="C18" s="135">
        <f>C19+C20+C21+C22</f>
        <v>9.879999999999999</v>
      </c>
      <c r="D18" s="76">
        <v>682276.21</v>
      </c>
      <c r="E18" s="76">
        <v>686545.07</v>
      </c>
      <c r="F18" s="76">
        <f aca="true" t="shared" si="0" ref="F18:F25">D18</f>
        <v>682276.21</v>
      </c>
      <c r="G18" s="77">
        <f>D18-E18</f>
        <v>-4268.859999999986</v>
      </c>
      <c r="H18" s="145">
        <f>C18</f>
        <v>9.879999999999999</v>
      </c>
    </row>
    <row r="19" spans="1:9" s="67" customFormat="1" ht="15.75" customHeight="1">
      <c r="A19" s="81" t="s">
        <v>16</v>
      </c>
      <c r="B19" s="34" t="s">
        <v>17</v>
      </c>
      <c r="C19" s="99">
        <v>3.46</v>
      </c>
      <c r="D19" s="83">
        <f>D18*I19</f>
        <v>238934.7860931174</v>
      </c>
      <c r="E19" s="83">
        <f>E18*I19</f>
        <v>240429.7512348178</v>
      </c>
      <c r="F19" s="83">
        <f t="shared" si="0"/>
        <v>238934.7860931174</v>
      </c>
      <c r="G19" s="84">
        <f>D19-E19</f>
        <v>-1494.965141700406</v>
      </c>
      <c r="H19" s="145">
        <f>C19</f>
        <v>3.46</v>
      </c>
      <c r="I19" s="67">
        <f>H19/H18</f>
        <v>0.3502024291497976</v>
      </c>
    </row>
    <row r="20" spans="1:9" s="67" customFormat="1" ht="15.75" customHeight="1">
      <c r="A20" s="81" t="s">
        <v>18</v>
      </c>
      <c r="B20" s="34" t="s">
        <v>19</v>
      </c>
      <c r="C20" s="99">
        <v>1.69</v>
      </c>
      <c r="D20" s="83">
        <f>D18*I20</f>
        <v>116705.14118421053</v>
      </c>
      <c r="E20" s="83">
        <f>E18*I20</f>
        <v>117435.34092105263</v>
      </c>
      <c r="F20" s="83">
        <f t="shared" si="0"/>
        <v>116705.14118421053</v>
      </c>
      <c r="G20" s="84">
        <f>D20-E20</f>
        <v>-730.1997368420998</v>
      </c>
      <c r="H20" s="145">
        <f>C20</f>
        <v>1.69</v>
      </c>
      <c r="I20" s="67">
        <f>H20/H18</f>
        <v>0.17105263157894737</v>
      </c>
    </row>
    <row r="21" spans="1:9" s="67" customFormat="1" ht="15.75" customHeight="1">
      <c r="A21" s="81" t="s">
        <v>20</v>
      </c>
      <c r="B21" s="34" t="s">
        <v>21</v>
      </c>
      <c r="C21" s="99">
        <v>1.69</v>
      </c>
      <c r="D21" s="83">
        <f>D18*I21</f>
        <v>116705.14118421053</v>
      </c>
      <c r="E21" s="83">
        <f>E18*I21</f>
        <v>117435.34092105263</v>
      </c>
      <c r="F21" s="83">
        <f t="shared" si="0"/>
        <v>116705.14118421053</v>
      </c>
      <c r="G21" s="84">
        <f>D21-E21</f>
        <v>-730.1997368420998</v>
      </c>
      <c r="H21" s="145">
        <f>C21</f>
        <v>1.69</v>
      </c>
      <c r="I21" s="67">
        <f>H21/H18</f>
        <v>0.17105263157894737</v>
      </c>
    </row>
    <row r="22" spans="1:9" s="67" customFormat="1" ht="15.75" customHeight="1">
      <c r="A22" s="81" t="s">
        <v>22</v>
      </c>
      <c r="B22" s="34" t="s">
        <v>23</v>
      </c>
      <c r="C22" s="99">
        <v>3.04</v>
      </c>
      <c r="D22" s="83">
        <f>D18*I22</f>
        <v>209931.14153846152</v>
      </c>
      <c r="E22" s="83">
        <f>E18*I22</f>
        <v>211244.6369230769</v>
      </c>
      <c r="F22" s="83">
        <f t="shared" si="0"/>
        <v>209931.14153846152</v>
      </c>
      <c r="G22" s="84">
        <f>D22-E22</f>
        <v>-1313.4953846153803</v>
      </c>
      <c r="H22" s="145">
        <f>C22</f>
        <v>3.04</v>
      </c>
      <c r="I22" s="67">
        <f>H22/H18</f>
        <v>0.3076923076923077</v>
      </c>
    </row>
    <row r="23" spans="1:9" ht="24.75" customHeight="1">
      <c r="A23" s="41" t="s">
        <v>25</v>
      </c>
      <c r="B23" s="140" t="s">
        <v>434</v>
      </c>
      <c r="C23" s="46" t="s">
        <v>435</v>
      </c>
      <c r="D23" s="77">
        <v>143387.1</v>
      </c>
      <c r="E23" s="77">
        <v>141882.81</v>
      </c>
      <c r="F23" s="77">
        <f t="shared" si="0"/>
        <v>143387.1</v>
      </c>
      <c r="G23" s="77">
        <f aca="true" t="shared" si="1" ref="G23:G32">D23-E23</f>
        <v>1504.2900000000081</v>
      </c>
      <c r="H23" s="35">
        <f>111*130</f>
        <v>14430</v>
      </c>
      <c r="I23" s="358">
        <f>D23/H23</f>
        <v>9.936735966735966</v>
      </c>
    </row>
    <row r="24" spans="1:7" ht="15.75" customHeight="1">
      <c r="A24" s="41" t="s">
        <v>27</v>
      </c>
      <c r="B24" s="140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22" ht="15.75" customHeight="1">
      <c r="A25" s="41" t="s">
        <v>29</v>
      </c>
      <c r="B25" s="140" t="s">
        <v>161</v>
      </c>
      <c r="C25" s="200" t="s">
        <v>297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  <c r="N25" s="38"/>
      <c r="O25" s="38"/>
      <c r="P25" s="38"/>
      <c r="Q25" s="38"/>
      <c r="R25" s="38"/>
      <c r="S25" s="38"/>
      <c r="T25" s="38"/>
      <c r="U25" s="38"/>
      <c r="V25" s="38"/>
    </row>
    <row r="26" spans="1:13" ht="15.75" customHeight="1">
      <c r="A26" s="41" t="s">
        <v>31</v>
      </c>
      <c r="B26" s="140" t="s">
        <v>116</v>
      </c>
      <c r="C26" s="97">
        <v>1.86</v>
      </c>
      <c r="D26" s="77">
        <v>117560.59</v>
      </c>
      <c r="E26" s="77">
        <v>117061.98</v>
      </c>
      <c r="F26" s="87">
        <f>F41</f>
        <v>46330.9698</v>
      </c>
      <c r="G26" s="77">
        <f t="shared" si="1"/>
        <v>498.6100000000006</v>
      </c>
      <c r="M26" s="159"/>
    </row>
    <row r="27" spans="1:7" ht="15.75" customHeight="1">
      <c r="A27" s="41" t="s">
        <v>33</v>
      </c>
      <c r="B27" s="134" t="s">
        <v>34</v>
      </c>
      <c r="C27" s="46">
        <v>0</v>
      </c>
      <c r="D27" s="77">
        <v>0</v>
      </c>
      <c r="E27" s="77">
        <v>0</v>
      </c>
      <c r="F27" s="87">
        <v>0</v>
      </c>
      <c r="G27" s="77">
        <f t="shared" si="1"/>
        <v>0</v>
      </c>
    </row>
    <row r="28" spans="1:7" ht="15.75" customHeight="1">
      <c r="A28" s="41" t="s">
        <v>35</v>
      </c>
      <c r="B28" s="134" t="s">
        <v>36</v>
      </c>
      <c r="C28" s="97"/>
      <c r="D28" s="77">
        <f>SUM(D29:D32)</f>
        <v>2780388.46</v>
      </c>
      <c r="E28" s="77">
        <f>SUM(E29:E32)</f>
        <v>2744853.29</v>
      </c>
      <c r="F28" s="77">
        <f>SUM(F29:F32)</f>
        <v>2780388.46</v>
      </c>
      <c r="G28" s="77">
        <f t="shared" si="1"/>
        <v>35535.169999999925</v>
      </c>
    </row>
    <row r="29" spans="1:7" ht="15.75" customHeight="1">
      <c r="A29" s="34" t="s">
        <v>37</v>
      </c>
      <c r="B29" s="34" t="s">
        <v>165</v>
      </c>
      <c r="C29" s="285">
        <v>6</v>
      </c>
      <c r="D29" s="84">
        <v>80366.24</v>
      </c>
      <c r="E29" s="84">
        <v>79855.3</v>
      </c>
      <c r="F29" s="84">
        <f>D29</f>
        <v>80366.24</v>
      </c>
      <c r="G29" s="84">
        <f t="shared" si="1"/>
        <v>510.9400000000023</v>
      </c>
    </row>
    <row r="30" spans="1:7" ht="15.75" customHeight="1">
      <c r="A30" s="34" t="s">
        <v>39</v>
      </c>
      <c r="B30" s="34" t="s">
        <v>137</v>
      </c>
      <c r="C30" s="285">
        <v>57.08</v>
      </c>
      <c r="D30" s="84">
        <v>783930.89</v>
      </c>
      <c r="E30" s="84">
        <v>758589.09</v>
      </c>
      <c r="F30" s="84">
        <f>D30</f>
        <v>783930.89</v>
      </c>
      <c r="G30" s="84">
        <f t="shared" si="1"/>
        <v>25341.800000000047</v>
      </c>
    </row>
    <row r="31" spans="1:7" ht="15.75" customHeight="1">
      <c r="A31" s="34" t="s">
        <v>42</v>
      </c>
      <c r="B31" s="34" t="s">
        <v>40</v>
      </c>
      <c r="C31" s="286"/>
      <c r="D31" s="84">
        <v>0</v>
      </c>
      <c r="E31" s="84">
        <v>0</v>
      </c>
      <c r="F31" s="84">
        <f>D31</f>
        <v>0</v>
      </c>
      <c r="G31" s="84">
        <f t="shared" si="1"/>
        <v>0</v>
      </c>
    </row>
    <row r="32" spans="1:9" ht="15.75" customHeight="1">
      <c r="A32" s="34" t="s">
        <v>41</v>
      </c>
      <c r="B32" s="34" t="s">
        <v>43</v>
      </c>
      <c r="C32" s="285">
        <v>2638.8</v>
      </c>
      <c r="D32" s="84">
        <v>1916091.33</v>
      </c>
      <c r="E32" s="84">
        <v>1906408.9</v>
      </c>
      <c r="F32" s="84">
        <f>D32</f>
        <v>1916091.33</v>
      </c>
      <c r="G32" s="84">
        <f t="shared" si="1"/>
        <v>9682.430000000168</v>
      </c>
      <c r="H32" s="101"/>
      <c r="I32" s="101"/>
    </row>
    <row r="33" spans="1:9" ht="15.75" customHeight="1" thickBot="1">
      <c r="A33" s="446" t="s">
        <v>294</v>
      </c>
      <c r="B33" s="447"/>
      <c r="C33" s="447"/>
      <c r="D33" s="448"/>
      <c r="E33" s="448"/>
      <c r="F33" s="448"/>
      <c r="G33" s="170"/>
      <c r="H33" s="101"/>
      <c r="I33" s="101"/>
    </row>
    <row r="34" spans="1:10" s="102" customFormat="1" ht="14.25" thickBot="1">
      <c r="A34" s="455" t="s">
        <v>413</v>
      </c>
      <c r="B34" s="456"/>
      <c r="C34" s="456"/>
      <c r="D34" s="65">
        <v>562259.24</v>
      </c>
      <c r="E34" s="66"/>
      <c r="F34" s="66"/>
      <c r="G34" s="66"/>
      <c r="H34" s="62"/>
      <c r="I34" s="62"/>
      <c r="J34" s="101"/>
    </row>
    <row r="35" spans="1:9" s="67" customFormat="1" ht="8.25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414</v>
      </c>
      <c r="B36" s="64"/>
      <c r="C36" s="64"/>
      <c r="D36" s="69"/>
      <c r="E36" s="70"/>
      <c r="F36" s="70"/>
      <c r="G36" s="144">
        <f>G14+E27-F27</f>
        <v>0</v>
      </c>
      <c r="H36" s="62"/>
      <c r="I36" s="62"/>
    </row>
    <row r="37" spans="1:9" s="67" customFormat="1" ht="15.75" thickBot="1">
      <c r="A37" s="63" t="s">
        <v>415</v>
      </c>
      <c r="B37" s="64"/>
      <c r="C37" s="64"/>
      <c r="D37" s="69"/>
      <c r="E37" s="70"/>
      <c r="F37" s="70"/>
      <c r="G37" s="144">
        <f>G15+E26-F26</f>
        <v>106516.08489999999</v>
      </c>
      <c r="H37" s="62"/>
      <c r="I37" s="62"/>
    </row>
    <row r="38" spans="1:9" s="67" customFormat="1" ht="27.75" customHeight="1">
      <c r="A38" s="537" t="s">
        <v>44</v>
      </c>
      <c r="B38" s="537"/>
      <c r="C38" s="537"/>
      <c r="D38" s="537"/>
      <c r="E38" s="537"/>
      <c r="F38" s="537"/>
      <c r="G38" s="537"/>
      <c r="H38" s="537"/>
      <c r="I38" s="537"/>
    </row>
    <row r="40" spans="1:9" ht="28.5">
      <c r="A40" s="105" t="s">
        <v>11</v>
      </c>
      <c r="B40" s="471" t="s">
        <v>45</v>
      </c>
      <c r="C40" s="484"/>
      <c r="D40" s="105" t="s">
        <v>163</v>
      </c>
      <c r="E40" s="105" t="s">
        <v>162</v>
      </c>
      <c r="F40" s="471" t="s">
        <v>46</v>
      </c>
      <c r="G40" s="484"/>
      <c r="H40" s="171"/>
      <c r="I40" s="171"/>
    </row>
    <row r="41" spans="1:9" s="171" customFormat="1" ht="15">
      <c r="A41" s="109" t="s">
        <v>47</v>
      </c>
      <c r="B41" s="473" t="s">
        <v>111</v>
      </c>
      <c r="C41" s="491"/>
      <c r="D41" s="110"/>
      <c r="E41" s="110"/>
      <c r="F41" s="496">
        <f>SUM(F42:G47)</f>
        <v>46330.9698</v>
      </c>
      <c r="G41" s="483"/>
      <c r="H41" s="114"/>
      <c r="I41" s="114"/>
    </row>
    <row r="42" spans="1:9" s="171" customFormat="1" ht="15">
      <c r="A42" s="34" t="s">
        <v>16</v>
      </c>
      <c r="B42" s="540" t="s">
        <v>580</v>
      </c>
      <c r="C42" s="498"/>
      <c r="D42" s="427"/>
      <c r="E42" s="427"/>
      <c r="F42" s="497">
        <v>2150</v>
      </c>
      <c r="G42" s="497"/>
      <c r="H42" s="114"/>
      <c r="I42" s="114"/>
    </row>
    <row r="43" spans="1:9" s="171" customFormat="1" ht="30">
      <c r="A43" s="34" t="s">
        <v>18</v>
      </c>
      <c r="B43" s="540" t="s">
        <v>324</v>
      </c>
      <c r="C43" s="498"/>
      <c r="D43" s="427"/>
      <c r="E43" s="404" t="s">
        <v>221</v>
      </c>
      <c r="F43" s="497">
        <v>1700</v>
      </c>
      <c r="G43" s="497"/>
      <c r="H43" s="114"/>
      <c r="I43" s="114"/>
    </row>
    <row r="44" spans="1:9" s="171" customFormat="1" ht="15">
      <c r="A44" s="34" t="s">
        <v>20</v>
      </c>
      <c r="B44" s="540" t="s">
        <v>581</v>
      </c>
      <c r="C44" s="498"/>
      <c r="D44" s="404" t="s">
        <v>216</v>
      </c>
      <c r="E44" s="404">
        <v>0.02</v>
      </c>
      <c r="F44" s="497">
        <v>20510.35</v>
      </c>
      <c r="G44" s="497"/>
      <c r="H44" s="114"/>
      <c r="I44" s="114"/>
    </row>
    <row r="45" spans="1:9" s="171" customFormat="1" ht="15">
      <c r="A45" s="34" t="s">
        <v>22</v>
      </c>
      <c r="B45" s="540" t="s">
        <v>582</v>
      </c>
      <c r="C45" s="498"/>
      <c r="D45" s="427"/>
      <c r="E45" s="427"/>
      <c r="F45" s="497">
        <v>4000</v>
      </c>
      <c r="G45" s="497"/>
      <c r="H45" s="114"/>
      <c r="I45" s="114"/>
    </row>
    <row r="46" spans="1:7" ht="18.75" customHeight="1">
      <c r="A46" s="34" t="s">
        <v>24</v>
      </c>
      <c r="B46" s="449" t="s">
        <v>814</v>
      </c>
      <c r="C46" s="451"/>
      <c r="D46" s="118" t="s">
        <v>391</v>
      </c>
      <c r="E46" s="118">
        <v>6</v>
      </c>
      <c r="F46" s="495">
        <v>16800</v>
      </c>
      <c r="G46" s="495"/>
    </row>
    <row r="47" spans="1:7" ht="15">
      <c r="A47" s="34" t="s">
        <v>103</v>
      </c>
      <c r="B47" s="148" t="s">
        <v>188</v>
      </c>
      <c r="C47" s="149"/>
      <c r="D47" s="118"/>
      <c r="E47" s="118"/>
      <c r="F47" s="495">
        <f>E26*1%</f>
        <v>1170.6198</v>
      </c>
      <c r="G47" s="495"/>
    </row>
    <row r="48" spans="1:9" ht="15">
      <c r="A48" s="67"/>
      <c r="B48" s="67"/>
      <c r="C48" s="67"/>
      <c r="D48" s="67"/>
      <c r="E48" s="67"/>
      <c r="F48" s="67"/>
      <c r="G48" s="67"/>
      <c r="H48" s="67"/>
      <c r="I48" s="67"/>
    </row>
    <row r="49" spans="1:9" ht="15" customHeight="1">
      <c r="A49" s="67" t="s">
        <v>55</v>
      </c>
      <c r="B49" s="67"/>
      <c r="C49" s="67" t="s">
        <v>49</v>
      </c>
      <c r="D49" s="67"/>
      <c r="E49" s="67"/>
      <c r="F49" s="67" t="s">
        <v>90</v>
      </c>
      <c r="G49" s="67"/>
      <c r="H49" s="67"/>
      <c r="I49" s="67"/>
    </row>
    <row r="50" spans="1:9" ht="15">
      <c r="A50" s="67"/>
      <c r="B50" s="67"/>
      <c r="C50" s="67"/>
      <c r="D50" s="67"/>
      <c r="E50" s="67"/>
      <c r="F50" s="126" t="s">
        <v>545</v>
      </c>
      <c r="G50" s="67"/>
      <c r="H50" s="67"/>
      <c r="I50" s="67"/>
    </row>
    <row r="51" s="67" customFormat="1" ht="15">
      <c r="A51" s="67" t="s">
        <v>50</v>
      </c>
    </row>
    <row r="52" spans="3:7" s="67" customFormat="1" ht="13.5" customHeight="1">
      <c r="C52" s="128" t="s">
        <v>51</v>
      </c>
      <c r="E52" s="128"/>
      <c r="F52" s="128"/>
      <c r="G52" s="128"/>
    </row>
    <row r="53" s="67" customFormat="1" ht="15"/>
  </sheetData>
  <sheetProtection/>
  <mergeCells count="25">
    <mergeCell ref="A11:I11"/>
    <mergeCell ref="A12:I12"/>
    <mergeCell ref="A34:C34"/>
    <mergeCell ref="A38:I38"/>
    <mergeCell ref="B40:C40"/>
    <mergeCell ref="F40:G40"/>
    <mergeCell ref="A33:F33"/>
    <mergeCell ref="A1:I1"/>
    <mergeCell ref="A2:I2"/>
    <mergeCell ref="A3:K3"/>
    <mergeCell ref="A5:I5"/>
    <mergeCell ref="A10:I10"/>
    <mergeCell ref="F47:G47"/>
    <mergeCell ref="B41:C41"/>
    <mergeCell ref="F41:G41"/>
    <mergeCell ref="B46:C46"/>
    <mergeCell ref="F46:G46"/>
    <mergeCell ref="B42:C42"/>
    <mergeCell ref="B43:C43"/>
    <mergeCell ref="B44:C44"/>
    <mergeCell ref="B45:C45"/>
    <mergeCell ref="F42:G42"/>
    <mergeCell ref="F43:G43"/>
    <mergeCell ref="F44:G44"/>
    <mergeCell ref="F45:G4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M55"/>
  <sheetViews>
    <sheetView zoomScalePageLayoutView="0" workbookViewId="0" topLeftCell="A41">
      <selection activeCell="F50" sqref="F50:G50"/>
    </sheetView>
  </sheetViews>
  <sheetFormatPr defaultColWidth="9.140625" defaultRowHeight="15" outlineLevelCol="1"/>
  <cols>
    <col min="1" max="1" width="5.57421875" style="35" customWidth="1"/>
    <col min="2" max="2" width="51.00390625" style="35" customWidth="1"/>
    <col min="3" max="3" width="13.00390625" style="35" customWidth="1"/>
    <col min="4" max="4" width="12.8515625" style="35" customWidth="1"/>
    <col min="5" max="5" width="12.7109375" style="35" customWidth="1"/>
    <col min="6" max="6" width="14.0039062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7.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5.7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6" customHeight="1"/>
    <row r="7" spans="1:6" s="67" customFormat="1" ht="16.5" customHeight="1">
      <c r="A7" s="67" t="s">
        <v>2</v>
      </c>
      <c r="F7" s="126" t="s">
        <v>80</v>
      </c>
    </row>
    <row r="8" spans="1:6" s="67" customFormat="1" ht="15">
      <c r="A8" s="67" t="s">
        <v>3</v>
      </c>
      <c r="F8" s="291" t="s">
        <v>81</v>
      </c>
    </row>
    <row r="9" s="67" customFormat="1" ht="6" customHeight="1"/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'[2]Пионерская 18'!$G$37</f>
        <v>24353.850000000002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'[2]Пионерская 18'!$G$38</f>
        <v>-161555.66559999998</v>
      </c>
      <c r="H15" s="62"/>
      <c r="I15" s="62"/>
    </row>
    <row r="16" s="67" customFormat="1" ht="6.75" customHeight="1"/>
    <row r="17" spans="1:7" s="74" customFormat="1" ht="52.5" customHeight="1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67" customFormat="1" ht="15.75" customHeight="1">
      <c r="A18" s="75" t="s">
        <v>14</v>
      </c>
      <c r="B18" s="41" t="s">
        <v>15</v>
      </c>
      <c r="C18" s="135">
        <f>C19+C20+C21+C22+C23</f>
        <v>13.379999999999999</v>
      </c>
      <c r="D18" s="76">
        <v>455872.78</v>
      </c>
      <c r="E18" s="76">
        <v>477525.79</v>
      </c>
      <c r="F18" s="76">
        <f aca="true" t="shared" si="0" ref="F18:F26">D18</f>
        <v>455872.78</v>
      </c>
      <c r="G18" s="77">
        <f aca="true" t="shared" si="1" ref="G18:G23">D18-E18</f>
        <v>-21653.00999999995</v>
      </c>
      <c r="H18" s="145">
        <f aca="true" t="shared" si="2" ref="H18:H23">C18</f>
        <v>13.379999999999999</v>
      </c>
    </row>
    <row r="19" spans="1:9" s="67" customFormat="1" ht="15.75" customHeight="1">
      <c r="A19" s="81" t="s">
        <v>16</v>
      </c>
      <c r="B19" s="34" t="s">
        <v>17</v>
      </c>
      <c r="C19" s="99">
        <v>3.46</v>
      </c>
      <c r="D19" s="83">
        <f>D18*I19</f>
        <v>117886.38406576982</v>
      </c>
      <c r="E19" s="83">
        <f>E18*I19</f>
        <v>123485.74240657697</v>
      </c>
      <c r="F19" s="83">
        <f t="shared" si="0"/>
        <v>117886.38406576982</v>
      </c>
      <c r="G19" s="84">
        <f t="shared" si="1"/>
        <v>-5599.358340807157</v>
      </c>
      <c r="H19" s="145">
        <f t="shared" si="2"/>
        <v>3.46</v>
      </c>
      <c r="I19" s="67">
        <f>H19/H18</f>
        <v>0.2585949177877429</v>
      </c>
    </row>
    <row r="20" spans="1:9" s="67" customFormat="1" ht="15.75" customHeight="1">
      <c r="A20" s="81" t="s">
        <v>18</v>
      </c>
      <c r="B20" s="34" t="s">
        <v>19</v>
      </c>
      <c r="C20" s="99">
        <v>1.69</v>
      </c>
      <c r="D20" s="83">
        <f>D18*I20</f>
        <v>57580.34366218237</v>
      </c>
      <c r="E20" s="83">
        <f>E18*I20</f>
        <v>60315.290366218236</v>
      </c>
      <c r="F20" s="83">
        <f t="shared" si="0"/>
        <v>57580.34366218237</v>
      </c>
      <c r="G20" s="84">
        <f t="shared" si="1"/>
        <v>-2734.946704035865</v>
      </c>
      <c r="H20" s="145">
        <f t="shared" si="2"/>
        <v>1.69</v>
      </c>
      <c r="I20" s="67">
        <f>H20/H18</f>
        <v>0.12630792227204785</v>
      </c>
    </row>
    <row r="21" spans="1:9" s="67" customFormat="1" ht="15.75" customHeight="1">
      <c r="A21" s="81" t="s">
        <v>20</v>
      </c>
      <c r="B21" s="34" t="s">
        <v>21</v>
      </c>
      <c r="C21" s="99">
        <v>1.69</v>
      </c>
      <c r="D21" s="83">
        <f>D18*I21</f>
        <v>57580.34366218237</v>
      </c>
      <c r="E21" s="83">
        <f>E18*I21</f>
        <v>60315.290366218236</v>
      </c>
      <c r="F21" s="83">
        <f t="shared" si="0"/>
        <v>57580.34366218237</v>
      </c>
      <c r="G21" s="84">
        <f t="shared" si="1"/>
        <v>-2734.946704035865</v>
      </c>
      <c r="H21" s="145">
        <f t="shared" si="2"/>
        <v>1.69</v>
      </c>
      <c r="I21" s="67">
        <f>H21/H18</f>
        <v>0.12630792227204785</v>
      </c>
    </row>
    <row r="22" spans="1:9" s="67" customFormat="1" ht="15.75" customHeight="1">
      <c r="A22" s="81" t="s">
        <v>22</v>
      </c>
      <c r="B22" s="34" t="s">
        <v>23</v>
      </c>
      <c r="C22" s="99">
        <v>3.04</v>
      </c>
      <c r="D22" s="83">
        <f>D18*I22</f>
        <v>103576.47617339314</v>
      </c>
      <c r="E22" s="83">
        <f>E18*I22</f>
        <v>108496.14361733932</v>
      </c>
      <c r="F22" s="83">
        <f t="shared" si="0"/>
        <v>103576.47617339314</v>
      </c>
      <c r="G22" s="84">
        <f t="shared" si="1"/>
        <v>-4919.6674439461785</v>
      </c>
      <c r="H22" s="145">
        <f t="shared" si="2"/>
        <v>3.04</v>
      </c>
      <c r="I22" s="67">
        <f>H22/H18</f>
        <v>0.22720478325859494</v>
      </c>
    </row>
    <row r="23" spans="1:9" s="67" customFormat="1" ht="15.75" customHeight="1">
      <c r="A23" s="81" t="s">
        <v>24</v>
      </c>
      <c r="B23" s="34" t="s">
        <v>180</v>
      </c>
      <c r="C23" s="99">
        <v>3.5</v>
      </c>
      <c r="D23" s="83">
        <f>I23*D18</f>
        <v>119249.23243647235</v>
      </c>
      <c r="E23" s="83">
        <f>I23*E18</f>
        <v>124913.32324364723</v>
      </c>
      <c r="F23" s="83">
        <f>D23</f>
        <v>119249.23243647235</v>
      </c>
      <c r="G23" s="84">
        <f t="shared" si="1"/>
        <v>-5664.090807174885</v>
      </c>
      <c r="H23" s="145">
        <f t="shared" si="2"/>
        <v>3.5</v>
      </c>
      <c r="I23" s="67">
        <f>H23/H18</f>
        <v>0.2615844544095665</v>
      </c>
    </row>
    <row r="24" spans="1:7" ht="15.75" customHeight="1">
      <c r="A24" s="41" t="s">
        <v>25</v>
      </c>
      <c r="B24" s="140" t="s">
        <v>136</v>
      </c>
      <c r="C24" s="46">
        <v>0</v>
      </c>
      <c r="D24" s="77">
        <v>0</v>
      </c>
      <c r="E24" s="77">
        <v>0</v>
      </c>
      <c r="F24" s="77">
        <f t="shared" si="0"/>
        <v>0</v>
      </c>
      <c r="G24" s="77">
        <f aca="true" t="shared" si="3" ref="G24:G34">D24-E24</f>
        <v>0</v>
      </c>
    </row>
    <row r="25" spans="1:7" ht="15.75" customHeight="1">
      <c r="A25" s="41" t="s">
        <v>27</v>
      </c>
      <c r="B25" s="140" t="s">
        <v>28</v>
      </c>
      <c r="C25" s="97">
        <v>0</v>
      </c>
      <c r="D25" s="77">
        <v>0</v>
      </c>
      <c r="E25" s="77">
        <v>0</v>
      </c>
      <c r="F25" s="77">
        <f t="shared" si="0"/>
        <v>0</v>
      </c>
      <c r="G25" s="77">
        <f t="shared" si="3"/>
        <v>0</v>
      </c>
    </row>
    <row r="26" spans="1:11" ht="15.75" customHeight="1">
      <c r="A26" s="41" t="s">
        <v>29</v>
      </c>
      <c r="B26" s="140" t="s">
        <v>161</v>
      </c>
      <c r="C26" s="200" t="s">
        <v>296</v>
      </c>
      <c r="D26" s="77">
        <v>0</v>
      </c>
      <c r="E26" s="77">
        <v>0</v>
      </c>
      <c r="F26" s="77">
        <f t="shared" si="0"/>
        <v>0</v>
      </c>
      <c r="G26" s="77">
        <f t="shared" si="3"/>
        <v>0</v>
      </c>
      <c r="H26" s="206">
        <v>1</v>
      </c>
      <c r="I26" s="206">
        <v>1</v>
      </c>
      <c r="J26" s="559" t="s">
        <v>255</v>
      </c>
      <c r="K26" s="560"/>
    </row>
    <row r="27" spans="1:13" ht="15.75" customHeight="1">
      <c r="A27" s="41" t="s">
        <v>31</v>
      </c>
      <c r="B27" s="140" t="s">
        <v>116</v>
      </c>
      <c r="C27" s="97">
        <v>1.86</v>
      </c>
      <c r="D27" s="77">
        <v>62966.52</v>
      </c>
      <c r="E27" s="77">
        <v>66705.75</v>
      </c>
      <c r="F27" s="87">
        <f>F45</f>
        <v>337036.1875</v>
      </c>
      <c r="G27" s="77">
        <f t="shared" si="3"/>
        <v>-3739.230000000003</v>
      </c>
      <c r="M27" s="159"/>
    </row>
    <row r="28" spans="1:7" ht="15.75" customHeight="1">
      <c r="A28" s="41" t="s">
        <v>33</v>
      </c>
      <c r="B28" s="134" t="s">
        <v>34</v>
      </c>
      <c r="C28" s="46">
        <v>0</v>
      </c>
      <c r="D28" s="77">
        <v>0</v>
      </c>
      <c r="E28" s="77">
        <v>18.95</v>
      </c>
      <c r="F28" s="87">
        <v>0</v>
      </c>
      <c r="G28" s="77">
        <f t="shared" si="3"/>
        <v>-18.95</v>
      </c>
    </row>
    <row r="29" spans="1:7" ht="15.75" customHeight="1">
      <c r="A29" s="41" t="s">
        <v>35</v>
      </c>
      <c r="B29" s="134" t="s">
        <v>36</v>
      </c>
      <c r="C29" s="97"/>
      <c r="D29" s="77">
        <f>SUM(D30:D33)</f>
        <v>1524175.9500000002</v>
      </c>
      <c r="E29" s="77">
        <f>SUM(E30:E33)</f>
        <v>1498811.58</v>
      </c>
      <c r="F29" s="77">
        <f>SUM(F30:F33)</f>
        <v>1524175.9500000002</v>
      </c>
      <c r="G29" s="77">
        <f t="shared" si="3"/>
        <v>25364.37000000011</v>
      </c>
    </row>
    <row r="30" spans="1:7" ht="15.75" customHeight="1">
      <c r="A30" s="34" t="s">
        <v>37</v>
      </c>
      <c r="B30" s="34" t="s">
        <v>165</v>
      </c>
      <c r="C30" s="285">
        <v>6</v>
      </c>
      <c r="D30" s="84">
        <v>35999.95</v>
      </c>
      <c r="E30" s="84">
        <v>37788.83</v>
      </c>
      <c r="F30" s="84">
        <f>D30</f>
        <v>35999.95</v>
      </c>
      <c r="G30" s="84">
        <f t="shared" si="3"/>
        <v>-1788.8800000000047</v>
      </c>
    </row>
    <row r="31" spans="1:7" ht="15.75" customHeight="1">
      <c r="A31" s="34" t="s">
        <v>39</v>
      </c>
      <c r="B31" s="34" t="s">
        <v>137</v>
      </c>
      <c r="C31" s="285">
        <v>57.08</v>
      </c>
      <c r="D31" s="84">
        <v>420568.88</v>
      </c>
      <c r="E31" s="84">
        <v>386101.88</v>
      </c>
      <c r="F31" s="84">
        <f>D31</f>
        <v>420568.88</v>
      </c>
      <c r="G31" s="84">
        <f t="shared" si="3"/>
        <v>34467</v>
      </c>
    </row>
    <row r="32" spans="1:7" ht="15.75" customHeight="1">
      <c r="A32" s="34" t="s">
        <v>42</v>
      </c>
      <c r="B32" s="34" t="s">
        <v>40</v>
      </c>
      <c r="C32" s="286"/>
      <c r="D32" s="84">
        <v>0</v>
      </c>
      <c r="E32" s="84">
        <v>0</v>
      </c>
      <c r="F32" s="84">
        <f>D32</f>
        <v>0</v>
      </c>
      <c r="G32" s="84">
        <f t="shared" si="3"/>
        <v>0</v>
      </c>
    </row>
    <row r="33" spans="1:9" ht="15.75" customHeight="1">
      <c r="A33" s="34" t="s">
        <v>41</v>
      </c>
      <c r="B33" s="34" t="s">
        <v>43</v>
      </c>
      <c r="C33" s="285">
        <v>2638.8</v>
      </c>
      <c r="D33" s="84">
        <v>1067607.12</v>
      </c>
      <c r="E33" s="84">
        <v>1074920.87</v>
      </c>
      <c r="F33" s="84">
        <f>D33</f>
        <v>1067607.12</v>
      </c>
      <c r="G33" s="84">
        <f t="shared" si="3"/>
        <v>-7313.75</v>
      </c>
      <c r="H33" s="101"/>
      <c r="I33" s="101"/>
    </row>
    <row r="34" spans="1:9" ht="15.75" customHeight="1">
      <c r="A34" s="191" t="s">
        <v>271</v>
      </c>
      <c r="B34" s="327" t="s">
        <v>275</v>
      </c>
      <c r="C34" s="285"/>
      <c r="D34" s="287">
        <f>(500*12)+(500*12)+(500*12)+(500*12)</f>
        <v>24000</v>
      </c>
      <c r="E34" s="287">
        <v>12303</v>
      </c>
      <c r="F34" s="315">
        <v>0</v>
      </c>
      <c r="G34" s="287">
        <f t="shared" si="3"/>
        <v>11697</v>
      </c>
      <c r="H34" s="101"/>
      <c r="I34" s="101"/>
    </row>
    <row r="35" spans="1:9" ht="15.75" customHeight="1">
      <c r="A35" s="191"/>
      <c r="B35" s="419"/>
      <c r="C35" s="487" t="s">
        <v>557</v>
      </c>
      <c r="D35" s="488"/>
      <c r="E35" s="488"/>
      <c r="F35" s="488"/>
      <c r="G35" s="424">
        <f>E34-(E34*15%)</f>
        <v>10457.55</v>
      </c>
      <c r="H35" s="101"/>
      <c r="I35" s="101"/>
    </row>
    <row r="36" spans="1:9" ht="15.75" customHeight="1" thickBot="1">
      <c r="A36" s="446" t="s">
        <v>294</v>
      </c>
      <c r="B36" s="447"/>
      <c r="C36" s="447"/>
      <c r="D36" s="448"/>
      <c r="E36" s="448"/>
      <c r="F36" s="448"/>
      <c r="G36" s="170"/>
      <c r="H36" s="101"/>
      <c r="I36" s="101"/>
    </row>
    <row r="37" spans="1:10" s="102" customFormat="1" ht="14.25" thickBot="1">
      <c r="A37" s="455" t="s">
        <v>413</v>
      </c>
      <c r="B37" s="456"/>
      <c r="C37" s="456"/>
      <c r="D37" s="65">
        <v>364052.5</v>
      </c>
      <c r="E37" s="66"/>
      <c r="F37" s="66"/>
      <c r="G37" s="66"/>
      <c r="H37" s="62"/>
      <c r="I37" s="62"/>
      <c r="J37" s="101"/>
    </row>
    <row r="38" spans="1:9" s="67" customFormat="1" ht="8.25" customHeight="1" thickBot="1">
      <c r="A38" s="68"/>
      <c r="B38" s="68"/>
      <c r="C38" s="68"/>
      <c r="D38" s="40"/>
      <c r="E38" s="66"/>
      <c r="F38" s="66"/>
      <c r="G38" s="66"/>
      <c r="H38" s="62"/>
      <c r="I38" s="62"/>
    </row>
    <row r="39" spans="1:9" s="67" customFormat="1" ht="15.75" thickBot="1">
      <c r="A39" s="63" t="s">
        <v>414</v>
      </c>
      <c r="B39" s="64"/>
      <c r="C39" s="64"/>
      <c r="D39" s="69"/>
      <c r="E39" s="70"/>
      <c r="F39" s="70"/>
      <c r="G39" s="144">
        <f>G14+E28-F28</f>
        <v>24372.800000000003</v>
      </c>
      <c r="H39" s="62"/>
      <c r="I39" s="62"/>
    </row>
    <row r="40" spans="1:9" s="67" customFormat="1" ht="15.75" thickBot="1">
      <c r="A40" s="63" t="s">
        <v>415</v>
      </c>
      <c r="B40" s="64"/>
      <c r="C40" s="64"/>
      <c r="D40" s="69"/>
      <c r="E40" s="70"/>
      <c r="F40" s="70"/>
      <c r="G40" s="144">
        <f>G15+E27-F27</f>
        <v>-431886.10309999995</v>
      </c>
      <c r="H40" s="62"/>
      <c r="I40" s="62"/>
    </row>
    <row r="41" spans="1:9" s="67" customFormat="1" ht="15">
      <c r="A41" s="68"/>
      <c r="B41" s="68"/>
      <c r="C41" s="68"/>
      <c r="D41" s="40"/>
      <c r="E41" s="66"/>
      <c r="F41" s="66"/>
      <c r="G41" s="40"/>
      <c r="H41" s="62"/>
      <c r="I41" s="62"/>
    </row>
    <row r="42" spans="1:9" s="67" customFormat="1" ht="27.75" customHeight="1">
      <c r="A42" s="537" t="s">
        <v>44</v>
      </c>
      <c r="B42" s="537"/>
      <c r="C42" s="537"/>
      <c r="D42" s="537"/>
      <c r="E42" s="537"/>
      <c r="F42" s="537"/>
      <c r="G42" s="537"/>
      <c r="H42" s="537"/>
      <c r="I42" s="537"/>
    </row>
    <row r="44" spans="1:9" ht="28.5">
      <c r="A44" s="105" t="s">
        <v>11</v>
      </c>
      <c r="B44" s="471" t="s">
        <v>45</v>
      </c>
      <c r="C44" s="484"/>
      <c r="D44" s="105" t="s">
        <v>163</v>
      </c>
      <c r="E44" s="105" t="s">
        <v>162</v>
      </c>
      <c r="F44" s="471" t="s">
        <v>46</v>
      </c>
      <c r="G44" s="484"/>
      <c r="H44" s="171"/>
      <c r="I44" s="171"/>
    </row>
    <row r="45" spans="1:9" s="171" customFormat="1" ht="15">
      <c r="A45" s="109" t="s">
        <v>47</v>
      </c>
      <c r="B45" s="473" t="s">
        <v>111</v>
      </c>
      <c r="C45" s="491"/>
      <c r="D45" s="110"/>
      <c r="E45" s="110"/>
      <c r="F45" s="496">
        <f>SUM(F46:L50)</f>
        <v>337036.1875</v>
      </c>
      <c r="G45" s="483"/>
      <c r="H45" s="114"/>
      <c r="I45" s="114"/>
    </row>
    <row r="46" spans="1:9" s="114" customFormat="1" ht="13.5" customHeight="1">
      <c r="A46" s="34" t="s">
        <v>16</v>
      </c>
      <c r="B46" s="462" t="s">
        <v>407</v>
      </c>
      <c r="C46" s="489"/>
      <c r="D46" s="403" t="s">
        <v>164</v>
      </c>
      <c r="E46" s="403">
        <v>1</v>
      </c>
      <c r="F46" s="525">
        <v>250</v>
      </c>
      <c r="G46" s="526"/>
      <c r="H46" s="35"/>
      <c r="I46" s="35"/>
    </row>
    <row r="47" spans="1:9" s="114" customFormat="1" ht="13.5" customHeight="1">
      <c r="A47" s="34" t="s">
        <v>18</v>
      </c>
      <c r="B47" s="462" t="s">
        <v>168</v>
      </c>
      <c r="C47" s="489"/>
      <c r="D47" s="403" t="s">
        <v>227</v>
      </c>
      <c r="E47" s="403">
        <v>0.1</v>
      </c>
      <c r="F47" s="497">
        <v>294046.03</v>
      </c>
      <c r="G47" s="497"/>
      <c r="H47" s="35"/>
      <c r="I47" s="35"/>
    </row>
    <row r="48" spans="1:7" ht="13.5" customHeight="1">
      <c r="A48" s="34" t="s">
        <v>20</v>
      </c>
      <c r="B48" s="462" t="s">
        <v>583</v>
      </c>
      <c r="C48" s="489"/>
      <c r="D48" s="403" t="s">
        <v>227</v>
      </c>
      <c r="E48" s="405">
        <v>0.16</v>
      </c>
      <c r="F48" s="497">
        <v>28073.1</v>
      </c>
      <c r="G48" s="497"/>
    </row>
    <row r="49" spans="1:7" ht="13.5" customHeight="1">
      <c r="A49" s="34" t="s">
        <v>22</v>
      </c>
      <c r="B49" s="449" t="s">
        <v>814</v>
      </c>
      <c r="C49" s="451"/>
      <c r="D49" s="118" t="s">
        <v>391</v>
      </c>
      <c r="E49" s="121">
        <v>5</v>
      </c>
      <c r="F49" s="495">
        <v>14000</v>
      </c>
      <c r="G49" s="495"/>
    </row>
    <row r="50" spans="1:7" ht="15">
      <c r="A50" s="34" t="s">
        <v>24</v>
      </c>
      <c r="B50" s="148" t="s">
        <v>188</v>
      </c>
      <c r="C50" s="149"/>
      <c r="D50" s="118"/>
      <c r="E50" s="118"/>
      <c r="F50" s="495">
        <f>E27*1%</f>
        <v>667.0575</v>
      </c>
      <c r="G50" s="495"/>
    </row>
    <row r="51" spans="1:9" ht="15">
      <c r="A51" s="67"/>
      <c r="B51" s="67"/>
      <c r="C51" s="67"/>
      <c r="D51" s="67"/>
      <c r="E51" s="67"/>
      <c r="F51" s="67"/>
      <c r="G51" s="67"/>
      <c r="H51" s="67"/>
      <c r="I51" s="67"/>
    </row>
    <row r="52" spans="1:9" ht="15" customHeight="1">
      <c r="A52" s="67" t="s">
        <v>55</v>
      </c>
      <c r="B52" s="67"/>
      <c r="C52" s="67" t="s">
        <v>49</v>
      </c>
      <c r="D52" s="67"/>
      <c r="E52" s="67"/>
      <c r="F52" s="67" t="s">
        <v>90</v>
      </c>
      <c r="G52" s="67"/>
      <c r="H52" s="67"/>
      <c r="I52" s="67"/>
    </row>
    <row r="53" spans="1:9" ht="15">
      <c r="A53" s="67"/>
      <c r="B53" s="67"/>
      <c r="C53" s="67"/>
      <c r="D53" s="67"/>
      <c r="E53" s="67"/>
      <c r="F53" s="126" t="s">
        <v>545</v>
      </c>
      <c r="G53" s="67"/>
      <c r="H53" s="67"/>
      <c r="I53" s="67"/>
    </row>
    <row r="54" s="67" customFormat="1" ht="15">
      <c r="A54" s="67" t="s">
        <v>50</v>
      </c>
    </row>
    <row r="55" spans="3:7" s="67" customFormat="1" ht="13.5" customHeight="1">
      <c r="C55" s="128" t="s">
        <v>51</v>
      </c>
      <c r="E55" s="128"/>
      <c r="F55" s="128"/>
      <c r="G55" s="128"/>
    </row>
    <row r="56" s="67" customFormat="1" ht="15"/>
  </sheetData>
  <sheetProtection/>
  <mergeCells count="25">
    <mergeCell ref="J26:K26"/>
    <mergeCell ref="A12:I12"/>
    <mergeCell ref="A1:I1"/>
    <mergeCell ref="A2:I2"/>
    <mergeCell ref="A5:I5"/>
    <mergeCell ref="A10:I10"/>
    <mergeCell ref="A3:K3"/>
    <mergeCell ref="A11:I11"/>
    <mergeCell ref="F50:G50"/>
    <mergeCell ref="B44:C44"/>
    <mergeCell ref="F44:G44"/>
    <mergeCell ref="B45:C45"/>
    <mergeCell ref="F45:G45"/>
    <mergeCell ref="B46:C46"/>
    <mergeCell ref="B48:C48"/>
    <mergeCell ref="B49:C49"/>
    <mergeCell ref="F49:G49"/>
    <mergeCell ref="C35:F35"/>
    <mergeCell ref="B47:C47"/>
    <mergeCell ref="F47:G47"/>
    <mergeCell ref="F48:G48"/>
    <mergeCell ref="A36:F36"/>
    <mergeCell ref="F46:G46"/>
    <mergeCell ref="A37:C37"/>
    <mergeCell ref="A42:I4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L54"/>
  <sheetViews>
    <sheetView zoomScalePageLayoutView="0" workbookViewId="0" topLeftCell="A43">
      <selection activeCell="B48" sqref="B48:G48"/>
    </sheetView>
  </sheetViews>
  <sheetFormatPr defaultColWidth="9.140625" defaultRowHeight="15" outlineLevelCol="1"/>
  <cols>
    <col min="1" max="1" width="5.57421875" style="35" customWidth="1"/>
    <col min="2" max="2" width="40.28125" style="35" bestFit="1" customWidth="1"/>
    <col min="3" max="3" width="13.7109375" style="35" customWidth="1"/>
    <col min="4" max="4" width="13.421875" style="35" customWidth="1"/>
    <col min="5" max="5" width="13.00390625" style="35" customWidth="1"/>
    <col min="6" max="6" width="12.710937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6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18.7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6.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7" spans="1:6" s="67" customFormat="1" ht="16.5" customHeight="1">
      <c r="A7" s="67" t="s">
        <v>2</v>
      </c>
      <c r="F7" s="126" t="s">
        <v>120</v>
      </c>
    </row>
    <row r="8" spans="1:9" s="67" customFormat="1" ht="15">
      <c r="A8" s="67" t="s">
        <v>3</v>
      </c>
      <c r="F8" s="126" t="s">
        <v>260</v>
      </c>
      <c r="I8" s="199" t="s">
        <v>261</v>
      </c>
    </row>
    <row r="9" s="67" customFormat="1" ht="15"/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280">
        <f>'[2] Пионерская 1318 кв.1-50'!$G$36</f>
        <v>-2309.7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280">
        <f>'[2] Пионерская 1318 кв.1-50'!$G$37</f>
        <v>-398.5487249999969</v>
      </c>
      <c r="H15" s="62"/>
      <c r="I15" s="62"/>
    </row>
    <row r="16" s="67" customFormat="1" ht="8.25" customHeight="1"/>
    <row r="17" spans="1:8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  <c r="H17" s="72"/>
    </row>
    <row r="18" spans="1:8" s="167" customFormat="1" ht="14.25">
      <c r="A18" s="75" t="s">
        <v>14</v>
      </c>
      <c r="B18" s="134" t="s">
        <v>15</v>
      </c>
      <c r="C18" s="135">
        <f>C19+C20+C21+C22</f>
        <v>9.879999999999999</v>
      </c>
      <c r="D18" s="76">
        <v>334111.52</v>
      </c>
      <c r="E18" s="76">
        <v>321796.49</v>
      </c>
      <c r="F18" s="76">
        <f aca="true" t="shared" si="0" ref="F18:F23">D18</f>
        <v>334111.52</v>
      </c>
      <c r="G18" s="77">
        <f aca="true" t="shared" si="1" ref="G18:G23">D18-E18</f>
        <v>12315.030000000028</v>
      </c>
      <c r="H18" s="166">
        <f aca="true" t="shared" si="2" ref="H18:H23">C18</f>
        <v>9.879999999999999</v>
      </c>
    </row>
    <row r="19" spans="1:9" s="67" customFormat="1" ht="15">
      <c r="A19" s="81" t="s">
        <v>16</v>
      </c>
      <c r="B19" s="139" t="s">
        <v>17</v>
      </c>
      <c r="C19" s="99">
        <v>3.46</v>
      </c>
      <c r="D19" s="83">
        <f>D18*I19</f>
        <v>117006.66591093119</v>
      </c>
      <c r="E19" s="83">
        <f>E18*I19</f>
        <v>112693.91248987855</v>
      </c>
      <c r="F19" s="83">
        <f t="shared" si="0"/>
        <v>117006.66591093119</v>
      </c>
      <c r="G19" s="84">
        <f t="shared" si="1"/>
        <v>4312.7534210526355</v>
      </c>
      <c r="H19" s="145">
        <f t="shared" si="2"/>
        <v>3.46</v>
      </c>
      <c r="I19" s="67">
        <f>H19/H18</f>
        <v>0.3502024291497976</v>
      </c>
    </row>
    <row r="20" spans="1:9" s="67" customFormat="1" ht="15">
      <c r="A20" s="81" t="s">
        <v>18</v>
      </c>
      <c r="B20" s="139" t="s">
        <v>19</v>
      </c>
      <c r="C20" s="99">
        <v>1.69</v>
      </c>
      <c r="D20" s="83">
        <f>D18*I20</f>
        <v>57150.65473684211</v>
      </c>
      <c r="E20" s="83">
        <f>E18*I20</f>
        <v>55044.13644736842</v>
      </c>
      <c r="F20" s="83">
        <f t="shared" si="0"/>
        <v>57150.65473684211</v>
      </c>
      <c r="G20" s="84">
        <f t="shared" si="1"/>
        <v>2106.5182894736863</v>
      </c>
      <c r="H20" s="145">
        <f t="shared" si="2"/>
        <v>1.69</v>
      </c>
      <c r="I20" s="67">
        <f>H20/H18</f>
        <v>0.17105263157894737</v>
      </c>
    </row>
    <row r="21" spans="1:9" s="67" customFormat="1" ht="15">
      <c r="A21" s="81" t="s">
        <v>20</v>
      </c>
      <c r="B21" s="139" t="s">
        <v>21</v>
      </c>
      <c r="C21" s="99">
        <v>1.69</v>
      </c>
      <c r="D21" s="83">
        <f>D18*I21</f>
        <v>57150.65473684211</v>
      </c>
      <c r="E21" s="83">
        <f>E18*I21</f>
        <v>55044.13644736842</v>
      </c>
      <c r="F21" s="83">
        <f t="shared" si="0"/>
        <v>57150.65473684211</v>
      </c>
      <c r="G21" s="84">
        <f t="shared" si="1"/>
        <v>2106.5182894736863</v>
      </c>
      <c r="H21" s="145">
        <f t="shared" si="2"/>
        <v>1.69</v>
      </c>
      <c r="I21" s="67">
        <f>H21/H18</f>
        <v>0.17105263157894737</v>
      </c>
    </row>
    <row r="22" spans="1:9" s="67" customFormat="1" ht="15">
      <c r="A22" s="81" t="s">
        <v>22</v>
      </c>
      <c r="B22" s="139" t="s">
        <v>23</v>
      </c>
      <c r="C22" s="99">
        <v>3.04</v>
      </c>
      <c r="D22" s="83">
        <f>D18*I22</f>
        <v>102803.54461538463</v>
      </c>
      <c r="E22" s="83">
        <f>E18*I22</f>
        <v>99014.30461538462</v>
      </c>
      <c r="F22" s="83">
        <f t="shared" si="0"/>
        <v>102803.54461538463</v>
      </c>
      <c r="G22" s="84">
        <f t="shared" si="1"/>
        <v>3789.2400000000052</v>
      </c>
      <c r="H22" s="145">
        <f t="shared" si="2"/>
        <v>3.04</v>
      </c>
      <c r="I22" s="67">
        <f>H22/H18</f>
        <v>0.3076923076923077</v>
      </c>
    </row>
    <row r="23" spans="1:8" s="67" customFormat="1" ht="15">
      <c r="A23" s="81" t="s">
        <v>25</v>
      </c>
      <c r="B23" s="86" t="s">
        <v>462</v>
      </c>
      <c r="C23" s="99">
        <v>120</v>
      </c>
      <c r="D23" s="83">
        <v>54000</v>
      </c>
      <c r="E23" s="83">
        <v>49658.04</v>
      </c>
      <c r="F23" s="83">
        <f t="shared" si="0"/>
        <v>54000</v>
      </c>
      <c r="G23" s="84">
        <f t="shared" si="1"/>
        <v>4341.959999999999</v>
      </c>
      <c r="H23" s="145">
        <f t="shared" si="2"/>
        <v>120</v>
      </c>
    </row>
    <row r="24" spans="1:7" s="39" customFormat="1" ht="14.25">
      <c r="A24" s="41" t="s">
        <v>27</v>
      </c>
      <c r="B24" s="140" t="s">
        <v>28</v>
      </c>
      <c r="C24" s="141">
        <v>0</v>
      </c>
      <c r="D24" s="77">
        <v>0</v>
      </c>
      <c r="E24" s="77">
        <v>0</v>
      </c>
      <c r="F24" s="77">
        <v>0</v>
      </c>
      <c r="G24" s="77">
        <f aca="true" t="shared" si="3" ref="G24:G33">D24-E24</f>
        <v>0</v>
      </c>
    </row>
    <row r="25" spans="1:7" s="39" customFormat="1" ht="14.25">
      <c r="A25" s="41" t="s">
        <v>29</v>
      </c>
      <c r="B25" s="140" t="s">
        <v>161</v>
      </c>
      <c r="C25" s="141" t="s">
        <v>297</v>
      </c>
      <c r="D25" s="77">
        <v>0</v>
      </c>
      <c r="E25" s="77">
        <v>0</v>
      </c>
      <c r="F25" s="77">
        <f>D25</f>
        <v>0</v>
      </c>
      <c r="G25" s="77">
        <f t="shared" si="3"/>
        <v>0</v>
      </c>
    </row>
    <row r="26" spans="1:7" s="39" customFormat="1" ht="14.25">
      <c r="A26" s="41" t="s">
        <v>31</v>
      </c>
      <c r="B26" s="140" t="s">
        <v>116</v>
      </c>
      <c r="C26" s="141">
        <v>1.86</v>
      </c>
      <c r="D26" s="77">
        <v>57119.04</v>
      </c>
      <c r="E26" s="77">
        <v>55792.8</v>
      </c>
      <c r="F26" s="87">
        <f>F44</f>
        <v>287857.928</v>
      </c>
      <c r="G26" s="77">
        <f t="shared" si="3"/>
        <v>1326.239999999998</v>
      </c>
    </row>
    <row r="27" spans="1:7" s="39" customFormat="1" ht="14.25">
      <c r="A27" s="41" t="s">
        <v>33</v>
      </c>
      <c r="B27" s="134" t="s">
        <v>34</v>
      </c>
      <c r="C27" s="135">
        <v>0</v>
      </c>
      <c r="D27" s="77">
        <v>0</v>
      </c>
      <c r="E27" s="77">
        <v>3.15</v>
      </c>
      <c r="F27" s="87">
        <f>D27</f>
        <v>0</v>
      </c>
      <c r="G27" s="77">
        <f t="shared" si="3"/>
        <v>-3.15</v>
      </c>
    </row>
    <row r="28" spans="1:7" s="39" customFormat="1" ht="14.25">
      <c r="A28" s="41" t="s">
        <v>35</v>
      </c>
      <c r="B28" s="134" t="s">
        <v>36</v>
      </c>
      <c r="C28" s="135"/>
      <c r="D28" s="77">
        <f>SUM(D29:D32)</f>
        <v>1186198.69</v>
      </c>
      <c r="E28" s="77">
        <f>SUM(E29:E32)</f>
        <v>1152211.93</v>
      </c>
      <c r="F28" s="77">
        <f>SUM(F29:F32)</f>
        <v>1186198.69</v>
      </c>
      <c r="G28" s="77">
        <f t="shared" si="3"/>
        <v>33986.76000000001</v>
      </c>
    </row>
    <row r="29" spans="1:7" ht="15">
      <c r="A29" s="34" t="s">
        <v>37</v>
      </c>
      <c r="B29" s="34" t="s">
        <v>165</v>
      </c>
      <c r="C29" s="285">
        <v>6</v>
      </c>
      <c r="D29" s="287">
        <v>43758.19</v>
      </c>
      <c r="E29" s="287">
        <v>42017.33</v>
      </c>
      <c r="F29" s="289">
        <f>D29</f>
        <v>43758.19</v>
      </c>
      <c r="G29" s="84">
        <f t="shared" si="3"/>
        <v>1740.8600000000006</v>
      </c>
    </row>
    <row r="30" spans="1:7" ht="15">
      <c r="A30" s="34" t="s">
        <v>39</v>
      </c>
      <c r="B30" s="34" t="s">
        <v>137</v>
      </c>
      <c r="C30" s="285">
        <v>57.08</v>
      </c>
      <c r="D30" s="287">
        <v>310215.77</v>
      </c>
      <c r="E30" s="287">
        <v>301050</v>
      </c>
      <c r="F30" s="289">
        <f>D30</f>
        <v>310215.77</v>
      </c>
      <c r="G30" s="84">
        <f t="shared" si="3"/>
        <v>9165.770000000019</v>
      </c>
    </row>
    <row r="31" spans="1:7" ht="15">
      <c r="A31" s="34" t="s">
        <v>42</v>
      </c>
      <c r="B31" s="139" t="s">
        <v>340</v>
      </c>
      <c r="C31" s="286">
        <v>0</v>
      </c>
      <c r="D31" s="287">
        <v>0</v>
      </c>
      <c r="E31" s="287">
        <v>0</v>
      </c>
      <c r="F31" s="289">
        <f>D31</f>
        <v>0</v>
      </c>
      <c r="G31" s="84">
        <f t="shared" si="3"/>
        <v>0</v>
      </c>
    </row>
    <row r="32" spans="1:7" ht="15">
      <c r="A32" s="34" t="s">
        <v>41</v>
      </c>
      <c r="B32" s="34" t="s">
        <v>43</v>
      </c>
      <c r="C32" s="285">
        <v>2638.8</v>
      </c>
      <c r="D32" s="287">
        <v>832224.73</v>
      </c>
      <c r="E32" s="287">
        <v>809144.6</v>
      </c>
      <c r="F32" s="289">
        <f>D32</f>
        <v>832224.73</v>
      </c>
      <c r="G32" s="84">
        <f t="shared" si="3"/>
        <v>23080.130000000005</v>
      </c>
    </row>
    <row r="33" spans="1:12" ht="15">
      <c r="A33" s="41" t="s">
        <v>192</v>
      </c>
      <c r="B33" s="327" t="s">
        <v>272</v>
      </c>
      <c r="C33" s="99"/>
      <c r="D33" s="287">
        <v>23438</v>
      </c>
      <c r="E33" s="287">
        <v>11956</v>
      </c>
      <c r="F33" s="289">
        <v>0</v>
      </c>
      <c r="G33" s="84">
        <f t="shared" si="3"/>
        <v>11482</v>
      </c>
      <c r="I33" s="35">
        <v>3000</v>
      </c>
      <c r="J33" s="35">
        <v>3216</v>
      </c>
      <c r="K33" s="35">
        <v>3600</v>
      </c>
      <c r="L33" s="35">
        <v>5538</v>
      </c>
    </row>
    <row r="34" spans="1:7" ht="15">
      <c r="A34" s="398"/>
      <c r="B34" s="397"/>
      <c r="C34" s="487" t="s">
        <v>557</v>
      </c>
      <c r="D34" s="488"/>
      <c r="E34" s="488"/>
      <c r="F34" s="488"/>
      <c r="G34" s="424">
        <f>E33-(E33*15%)</f>
        <v>10162.6</v>
      </c>
    </row>
    <row r="35" spans="1:7" ht="15">
      <c r="A35" s="446" t="s">
        <v>294</v>
      </c>
      <c r="B35" s="447"/>
      <c r="C35" s="447"/>
      <c r="D35" s="448"/>
      <c r="E35" s="448"/>
      <c r="F35" s="448"/>
      <c r="G35" s="290"/>
    </row>
    <row r="36" spans="1:9" s="67" customFormat="1" ht="15.75" thickBot="1">
      <c r="A36" s="479" t="s">
        <v>413</v>
      </c>
      <c r="B36" s="480"/>
      <c r="C36" s="480"/>
      <c r="D36" s="271">
        <v>622364.03</v>
      </c>
      <c r="E36" s="66"/>
      <c r="F36" s="66"/>
      <c r="G36" s="66"/>
      <c r="H36" s="62"/>
      <c r="I36" s="62"/>
    </row>
    <row r="37" spans="1:9" s="67" customFormat="1" ht="6" customHeight="1" thickBot="1">
      <c r="A37" s="68"/>
      <c r="B37" s="68"/>
      <c r="C37" s="68"/>
      <c r="D37" s="40"/>
      <c r="E37" s="66"/>
      <c r="F37" s="66"/>
      <c r="G37" s="66"/>
      <c r="H37" s="62"/>
      <c r="I37" s="62"/>
    </row>
    <row r="38" spans="1:9" s="67" customFormat="1" ht="15.75" thickBot="1">
      <c r="A38" s="63" t="s">
        <v>414</v>
      </c>
      <c r="B38" s="64"/>
      <c r="C38" s="64"/>
      <c r="D38" s="69"/>
      <c r="E38" s="70"/>
      <c r="F38" s="70"/>
      <c r="G38" s="280">
        <f>G14+E27-F27</f>
        <v>-2306.5499999999997</v>
      </c>
      <c r="H38" s="62"/>
      <c r="I38" s="62"/>
    </row>
    <row r="39" spans="1:9" s="67" customFormat="1" ht="15.75" thickBot="1">
      <c r="A39" s="63" t="s">
        <v>415</v>
      </c>
      <c r="B39" s="64"/>
      <c r="C39" s="64"/>
      <c r="D39" s="69"/>
      <c r="E39" s="70"/>
      <c r="F39" s="70"/>
      <c r="G39" s="280">
        <f>G15+E26-F26</f>
        <v>-232463.67672500003</v>
      </c>
      <c r="H39" s="62"/>
      <c r="I39" s="62"/>
    </row>
    <row r="40" spans="1:9" s="67" customFormat="1" ht="15">
      <c r="A40" s="68"/>
      <c r="B40" s="68"/>
      <c r="C40" s="68"/>
      <c r="D40" s="40"/>
      <c r="E40" s="66"/>
      <c r="F40" s="66"/>
      <c r="G40" s="40"/>
      <c r="H40" s="62"/>
      <c r="I40" s="62"/>
    </row>
    <row r="41" spans="1:9" ht="33.75" customHeight="1">
      <c r="A41" s="444" t="s">
        <v>44</v>
      </c>
      <c r="B41" s="481"/>
      <c r="C41" s="481"/>
      <c r="D41" s="481"/>
      <c r="E41" s="481"/>
      <c r="F41" s="481"/>
      <c r="G41" s="481"/>
      <c r="H41" s="58"/>
      <c r="I41" s="58"/>
    </row>
    <row r="43" spans="1:7" s="171" customFormat="1" ht="28.5" customHeight="1">
      <c r="A43" s="105" t="s">
        <v>11</v>
      </c>
      <c r="B43" s="471" t="s">
        <v>45</v>
      </c>
      <c r="C43" s="484"/>
      <c r="D43" s="105" t="s">
        <v>163</v>
      </c>
      <c r="E43" s="105" t="s">
        <v>162</v>
      </c>
      <c r="F43" s="471" t="s">
        <v>46</v>
      </c>
      <c r="G43" s="483"/>
    </row>
    <row r="44" spans="1:7" s="114" customFormat="1" ht="15" customHeight="1">
      <c r="A44" s="109" t="s">
        <v>47</v>
      </c>
      <c r="B44" s="473" t="s">
        <v>111</v>
      </c>
      <c r="C44" s="491"/>
      <c r="D44" s="281"/>
      <c r="E44" s="281"/>
      <c r="F44" s="485">
        <f>SUM(F45:G49)</f>
        <v>287857.928</v>
      </c>
      <c r="G44" s="486"/>
    </row>
    <row r="45" spans="1:7" ht="16.5" customHeight="1">
      <c r="A45" s="34" t="s">
        <v>16</v>
      </c>
      <c r="B45" s="462" t="s">
        <v>543</v>
      </c>
      <c r="C45" s="489"/>
      <c r="D45" s="337"/>
      <c r="E45" s="342"/>
      <c r="F45" s="482">
        <v>12000</v>
      </c>
      <c r="G45" s="482"/>
    </row>
    <row r="46" spans="1:7" ht="18.75" customHeight="1">
      <c r="A46" s="34" t="s">
        <v>18</v>
      </c>
      <c r="B46" s="462" t="s">
        <v>544</v>
      </c>
      <c r="C46" s="489"/>
      <c r="D46" s="337"/>
      <c r="E46" s="337"/>
      <c r="F46" s="482">
        <v>3100</v>
      </c>
      <c r="G46" s="482"/>
    </row>
    <row r="47" spans="1:7" ht="18.75" customHeight="1">
      <c r="A47" s="34" t="s">
        <v>20</v>
      </c>
      <c r="B47" s="449" t="s">
        <v>814</v>
      </c>
      <c r="C47" s="451"/>
      <c r="D47" s="118" t="s">
        <v>391</v>
      </c>
      <c r="E47" s="118">
        <v>4</v>
      </c>
      <c r="F47" s="490">
        <v>11200</v>
      </c>
      <c r="G47" s="490"/>
    </row>
    <row r="48" spans="1:7" ht="27.75" customHeight="1">
      <c r="A48" s="34" t="s">
        <v>22</v>
      </c>
      <c r="B48" s="462" t="s">
        <v>815</v>
      </c>
      <c r="C48" s="489"/>
      <c r="D48" s="403"/>
      <c r="E48" s="403"/>
      <c r="F48" s="482">
        <v>261000</v>
      </c>
      <c r="G48" s="482"/>
    </row>
    <row r="49" spans="1:7" ht="15.75" customHeight="1">
      <c r="A49" s="34" t="s">
        <v>24</v>
      </c>
      <c r="B49" s="477" t="s">
        <v>188</v>
      </c>
      <c r="C49" s="492"/>
      <c r="D49" s="282"/>
      <c r="E49" s="282"/>
      <c r="F49" s="490">
        <f>E26*1%</f>
        <v>557.928</v>
      </c>
      <c r="G49" s="490"/>
    </row>
    <row r="50" spans="2:5" ht="15">
      <c r="B50" s="154"/>
      <c r="C50" s="154"/>
      <c r="D50" s="154"/>
      <c r="E50" s="154"/>
    </row>
    <row r="51" spans="1:6" s="67" customFormat="1" ht="15">
      <c r="A51" s="67" t="s">
        <v>55</v>
      </c>
      <c r="C51" s="67" t="s">
        <v>49</v>
      </c>
      <c r="F51" s="67" t="s">
        <v>90</v>
      </c>
    </row>
    <row r="52" s="67" customFormat="1" ht="15">
      <c r="F52" s="126" t="s">
        <v>537</v>
      </c>
    </row>
    <row r="53" s="67" customFormat="1" ht="15">
      <c r="A53" s="67" t="s">
        <v>50</v>
      </c>
    </row>
    <row r="54" spans="3:7" s="67" customFormat="1" ht="15">
      <c r="C54" s="128" t="s">
        <v>51</v>
      </c>
      <c r="E54" s="128"/>
      <c r="F54" s="128"/>
      <c r="G54" s="128"/>
    </row>
    <row r="55" s="67" customFormat="1" ht="15"/>
    <row r="56" s="67" customFormat="1" ht="15"/>
  </sheetData>
  <sheetProtection/>
  <mergeCells count="25">
    <mergeCell ref="B46:C46"/>
    <mergeCell ref="F46:G46"/>
    <mergeCell ref="B47:C47"/>
    <mergeCell ref="F47:G47"/>
    <mergeCell ref="F49:G49"/>
    <mergeCell ref="B44:C44"/>
    <mergeCell ref="B45:C45"/>
    <mergeCell ref="B49:C49"/>
    <mergeCell ref="B48:C48"/>
    <mergeCell ref="F48:G48"/>
    <mergeCell ref="A12:I12"/>
    <mergeCell ref="A36:C36"/>
    <mergeCell ref="A41:G41"/>
    <mergeCell ref="F45:G45"/>
    <mergeCell ref="F43:G43"/>
    <mergeCell ref="B43:C43"/>
    <mergeCell ref="F44:G44"/>
    <mergeCell ref="A35:F35"/>
    <mergeCell ref="C34:F34"/>
    <mergeCell ref="A11:I11"/>
    <mergeCell ref="A1:I1"/>
    <mergeCell ref="A2:I2"/>
    <mergeCell ref="A5:I5"/>
    <mergeCell ref="A10:I10"/>
    <mergeCell ref="A3:K3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A1:K50"/>
  <sheetViews>
    <sheetView zoomScalePageLayoutView="0" workbookViewId="0" topLeftCell="A35">
      <selection activeCell="G38" sqref="G38"/>
    </sheetView>
  </sheetViews>
  <sheetFormatPr defaultColWidth="9.140625" defaultRowHeight="15" outlineLevelCol="1"/>
  <cols>
    <col min="1" max="1" width="4.7109375" style="35" customWidth="1"/>
    <col min="2" max="2" width="48.140625" style="35" customWidth="1"/>
    <col min="3" max="3" width="13.00390625" style="35" customWidth="1"/>
    <col min="4" max="4" width="12.7109375" style="35" customWidth="1"/>
    <col min="5" max="5" width="14.140625" style="35" customWidth="1"/>
    <col min="6" max="6" width="13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6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6.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7.5" customHeight="1"/>
    <row r="7" spans="1:6" s="67" customFormat="1" ht="16.5" customHeight="1">
      <c r="A7" s="67" t="s">
        <v>2</v>
      </c>
      <c r="F7" s="126" t="s">
        <v>122</v>
      </c>
    </row>
    <row r="8" spans="1:6" s="67" customFormat="1" ht="15">
      <c r="A8" s="67" t="s">
        <v>3</v>
      </c>
      <c r="F8" s="291" t="s">
        <v>225</v>
      </c>
    </row>
    <row r="9" s="67" customFormat="1" ht="6.75" customHeight="1"/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'[2]Чичерина 12 к.1'!$G$36</f>
        <v>17055.13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'[2]Чичерина 12 к.1'!$G$37</f>
        <v>203285.2591</v>
      </c>
      <c r="H15" s="62"/>
      <c r="I15" s="62"/>
    </row>
    <row r="16" s="67" customFormat="1" ht="6.75" customHeight="1"/>
    <row r="17" spans="1:7" s="74" customFormat="1" ht="36.75" customHeight="1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67" customFormat="1" ht="15">
      <c r="A18" s="75" t="s">
        <v>14</v>
      </c>
      <c r="B18" s="41" t="s">
        <v>15</v>
      </c>
      <c r="C18" s="135">
        <f>C19+C20+C21+C22</f>
        <v>10.34</v>
      </c>
      <c r="D18" s="76">
        <v>182285.9</v>
      </c>
      <c r="E18" s="76">
        <v>174840.12</v>
      </c>
      <c r="F18" s="76">
        <f>D18</f>
        <v>182285.9</v>
      </c>
      <c r="G18" s="77">
        <f>D18-E18</f>
        <v>7445.779999999999</v>
      </c>
      <c r="H18" s="78">
        <f>C18</f>
        <v>10.34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60997.02263056093</v>
      </c>
      <c r="E19" s="83">
        <f>E18*I19</f>
        <v>58505.49470019343</v>
      </c>
      <c r="F19" s="83">
        <f>D19</f>
        <v>60997.02263056093</v>
      </c>
      <c r="G19" s="84">
        <f>D19-E19</f>
        <v>2491.527930367505</v>
      </c>
      <c r="H19" s="78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29793.343423597675</v>
      </c>
      <c r="E20" s="83">
        <f>E18*I20</f>
        <v>28576.38324951644</v>
      </c>
      <c r="F20" s="83">
        <f>D20</f>
        <v>29793.343423597675</v>
      </c>
      <c r="G20" s="84">
        <f>D20-E20</f>
        <v>1216.960174081236</v>
      </c>
      <c r="H20" s="78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37902.77417794971</v>
      </c>
      <c r="E21" s="83">
        <f>E18*I21</f>
        <v>36354.57040618955</v>
      </c>
      <c r="F21" s="83">
        <f>D21</f>
        <v>37902.77417794971</v>
      </c>
      <c r="G21" s="84">
        <f>D21-E21</f>
        <v>1548.203771760156</v>
      </c>
      <c r="H21" s="78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53592.759767891686</v>
      </c>
      <c r="E22" s="83">
        <f>E18*I22</f>
        <v>51403.67164410058</v>
      </c>
      <c r="F22" s="83">
        <f>D22</f>
        <v>53592.759767891686</v>
      </c>
      <c r="G22" s="84">
        <f>D22-E22</f>
        <v>2189.088123791109</v>
      </c>
      <c r="H22" s="78">
        <f>C22</f>
        <v>3.04</v>
      </c>
      <c r="I22" s="67">
        <f>H22/H18</f>
        <v>0.2940038684719536</v>
      </c>
    </row>
    <row r="23" spans="1:9" ht="15">
      <c r="A23" s="41" t="s">
        <v>25</v>
      </c>
      <c r="B23" s="86" t="s">
        <v>462</v>
      </c>
      <c r="C23" s="141">
        <v>130</v>
      </c>
      <c r="D23" s="77">
        <v>23400</v>
      </c>
      <c r="E23" s="77">
        <v>22881.36</v>
      </c>
      <c r="F23" s="77">
        <v>0</v>
      </c>
      <c r="G23" s="77">
        <f aca="true" t="shared" si="0" ref="G23:G32">D23-E23</f>
        <v>518.6399999999994</v>
      </c>
      <c r="H23" s="35">
        <f>22*130</f>
        <v>2860</v>
      </c>
      <c r="I23" s="358">
        <f>D23/H23</f>
        <v>8.181818181818182</v>
      </c>
    </row>
    <row r="24" spans="1:7" ht="15">
      <c r="A24" s="41" t="s">
        <v>27</v>
      </c>
      <c r="B24" s="140" t="s">
        <v>28</v>
      </c>
      <c r="C24" s="141">
        <v>0</v>
      </c>
      <c r="D24" s="77">
        <v>0</v>
      </c>
      <c r="E24" s="77">
        <v>0</v>
      </c>
      <c r="F24" s="77">
        <f>D24</f>
        <v>0</v>
      </c>
      <c r="G24" s="77">
        <f t="shared" si="0"/>
        <v>0</v>
      </c>
    </row>
    <row r="25" spans="1:7" ht="15">
      <c r="A25" s="41" t="s">
        <v>29</v>
      </c>
      <c r="B25" s="140" t="s">
        <v>161</v>
      </c>
      <c r="C25" s="141">
        <v>12.54</v>
      </c>
      <c r="D25" s="77">
        <v>0</v>
      </c>
      <c r="E25" s="77">
        <v>0</v>
      </c>
      <c r="F25" s="77">
        <f>D25</f>
        <v>0</v>
      </c>
      <c r="G25" s="77">
        <f t="shared" si="0"/>
        <v>0</v>
      </c>
    </row>
    <row r="26" spans="1:7" ht="15">
      <c r="A26" s="41" t="s">
        <v>31</v>
      </c>
      <c r="B26" s="140" t="s">
        <v>116</v>
      </c>
      <c r="C26" s="141">
        <v>2.06</v>
      </c>
      <c r="D26" s="77">
        <v>34348.56</v>
      </c>
      <c r="E26" s="77">
        <v>34243.62</v>
      </c>
      <c r="F26" s="87">
        <f>F43</f>
        <v>11542.4362</v>
      </c>
      <c r="G26" s="77">
        <f t="shared" si="0"/>
        <v>104.93999999999505</v>
      </c>
    </row>
    <row r="27" spans="1:7" ht="15">
      <c r="A27" s="41" t="s">
        <v>33</v>
      </c>
      <c r="B27" s="134" t="s">
        <v>34</v>
      </c>
      <c r="C27" s="135">
        <v>0</v>
      </c>
      <c r="D27" s="77">
        <v>0</v>
      </c>
      <c r="E27" s="77">
        <v>0</v>
      </c>
      <c r="F27" s="87">
        <v>0</v>
      </c>
      <c r="G27" s="77">
        <f t="shared" si="0"/>
        <v>0</v>
      </c>
    </row>
    <row r="28" spans="1:7" ht="15">
      <c r="A28" s="41" t="s">
        <v>35</v>
      </c>
      <c r="B28" s="134" t="s">
        <v>36</v>
      </c>
      <c r="C28" s="135"/>
      <c r="D28" s="77">
        <f>SUM(D29:D32)</f>
        <v>950876.86</v>
      </c>
      <c r="E28" s="77">
        <f>SUM(E29:E32)</f>
        <v>927445.59</v>
      </c>
      <c r="F28" s="77">
        <f>SUM(F29:F32)</f>
        <v>950876.86</v>
      </c>
      <c r="G28" s="77">
        <f t="shared" si="0"/>
        <v>23431.27000000002</v>
      </c>
    </row>
    <row r="29" spans="1:7" ht="15">
      <c r="A29" s="34" t="s">
        <v>37</v>
      </c>
      <c r="B29" s="34" t="s">
        <v>165</v>
      </c>
      <c r="C29" s="285">
        <v>6</v>
      </c>
      <c r="D29" s="84">
        <v>19720.05</v>
      </c>
      <c r="E29" s="84">
        <v>19586.97</v>
      </c>
      <c r="F29" s="84">
        <f>D29</f>
        <v>19720.05</v>
      </c>
      <c r="G29" s="84">
        <f t="shared" si="0"/>
        <v>133.0799999999981</v>
      </c>
    </row>
    <row r="30" spans="1:7" ht="15">
      <c r="A30" s="34" t="s">
        <v>39</v>
      </c>
      <c r="B30" s="34" t="s">
        <v>137</v>
      </c>
      <c r="C30" s="285">
        <v>57.08</v>
      </c>
      <c r="D30" s="84">
        <v>114764.14</v>
      </c>
      <c r="E30" s="84">
        <v>105973.09</v>
      </c>
      <c r="F30" s="84">
        <f>D30</f>
        <v>114764.14</v>
      </c>
      <c r="G30" s="84">
        <f t="shared" si="0"/>
        <v>8791.050000000003</v>
      </c>
    </row>
    <row r="31" spans="1:7" ht="15">
      <c r="A31" s="34" t="s">
        <v>42</v>
      </c>
      <c r="B31" s="34" t="s">
        <v>340</v>
      </c>
      <c r="C31" s="286">
        <v>211.65</v>
      </c>
      <c r="D31" s="84">
        <v>210668.32</v>
      </c>
      <c r="E31" s="84">
        <v>195672.4</v>
      </c>
      <c r="F31" s="84">
        <f>D31</f>
        <v>210668.32</v>
      </c>
      <c r="G31" s="84">
        <f t="shared" si="0"/>
        <v>14995.920000000013</v>
      </c>
    </row>
    <row r="32" spans="1:7" ht="15">
      <c r="A32" s="34" t="s">
        <v>41</v>
      </c>
      <c r="B32" s="34" t="s">
        <v>43</v>
      </c>
      <c r="C32" s="285">
        <v>2638.8</v>
      </c>
      <c r="D32" s="84">
        <v>605724.35</v>
      </c>
      <c r="E32" s="84">
        <v>606213.13</v>
      </c>
      <c r="F32" s="84">
        <f>D32</f>
        <v>605724.35</v>
      </c>
      <c r="G32" s="84">
        <f t="shared" si="0"/>
        <v>-488.78000000002794</v>
      </c>
    </row>
    <row r="33" spans="1:7" ht="15.75" thickBot="1">
      <c r="A33" s="446" t="s">
        <v>294</v>
      </c>
      <c r="B33" s="447"/>
      <c r="C33" s="447"/>
      <c r="D33" s="448"/>
      <c r="E33" s="448"/>
      <c r="F33" s="448"/>
      <c r="G33" s="170"/>
    </row>
    <row r="34" spans="1:10" s="102" customFormat="1" ht="18.75" customHeight="1" thickBot="1">
      <c r="A34" s="455" t="s">
        <v>413</v>
      </c>
      <c r="B34" s="456"/>
      <c r="C34" s="456"/>
      <c r="D34" s="65">
        <v>341060.7</v>
      </c>
      <c r="E34" s="66"/>
      <c r="F34" s="66"/>
      <c r="G34" s="66"/>
      <c r="H34" s="101"/>
      <c r="I34" s="101"/>
      <c r="J34" s="101"/>
    </row>
    <row r="35" spans="1:9" s="67" customFormat="1" ht="13.5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414</v>
      </c>
      <c r="B36" s="64"/>
      <c r="C36" s="64"/>
      <c r="D36" s="69"/>
      <c r="E36" s="70"/>
      <c r="F36" s="70"/>
      <c r="G36" s="144">
        <f>G14+E27-F27</f>
        <v>17055.13</v>
      </c>
      <c r="H36" s="62"/>
      <c r="I36" s="62"/>
    </row>
    <row r="37" spans="1:9" s="67" customFormat="1" ht="15.75" thickBot="1">
      <c r="A37" s="63" t="s">
        <v>415</v>
      </c>
      <c r="B37" s="64"/>
      <c r="C37" s="64"/>
      <c r="D37" s="69"/>
      <c r="E37" s="70"/>
      <c r="F37" s="70"/>
      <c r="G37" s="144">
        <f>G15+E26-F26</f>
        <v>225986.4429</v>
      </c>
      <c r="H37" s="62"/>
      <c r="I37" s="62"/>
    </row>
    <row r="38" spans="2:5" ht="15">
      <c r="B38" s="154"/>
      <c r="C38" s="154"/>
      <c r="D38" s="154"/>
      <c r="E38" s="154"/>
    </row>
    <row r="39" spans="2:5" ht="2.25" customHeight="1">
      <c r="B39" s="154"/>
      <c r="C39" s="154"/>
      <c r="D39" s="154"/>
      <c r="E39" s="154"/>
    </row>
    <row r="40" spans="1:9" ht="24" customHeight="1">
      <c r="A40" s="444" t="s">
        <v>44</v>
      </c>
      <c r="B40" s="444"/>
      <c r="C40" s="444"/>
      <c r="D40" s="444"/>
      <c r="E40" s="444"/>
      <c r="F40" s="444"/>
      <c r="G40" s="444"/>
      <c r="H40" s="444"/>
      <c r="I40" s="444"/>
    </row>
    <row r="41" ht="3" customHeight="1"/>
    <row r="42" spans="1:7" s="171" customFormat="1" ht="28.5" customHeight="1">
      <c r="A42" s="105" t="s">
        <v>11</v>
      </c>
      <c r="B42" s="471" t="s">
        <v>45</v>
      </c>
      <c r="C42" s="484"/>
      <c r="D42" s="105" t="s">
        <v>163</v>
      </c>
      <c r="E42" s="105" t="s">
        <v>162</v>
      </c>
      <c r="F42" s="471" t="s">
        <v>46</v>
      </c>
      <c r="G42" s="484"/>
    </row>
    <row r="43" spans="1:7" s="114" customFormat="1" ht="13.5" customHeight="1">
      <c r="A43" s="109" t="s">
        <v>47</v>
      </c>
      <c r="B43" s="473" t="s">
        <v>111</v>
      </c>
      <c r="C43" s="491"/>
      <c r="D43" s="110"/>
      <c r="E43" s="110"/>
      <c r="F43" s="496">
        <f>SUM(F44:L45)</f>
        <v>11542.4362</v>
      </c>
      <c r="G43" s="483"/>
    </row>
    <row r="44" spans="1:7" ht="17.25" customHeight="1">
      <c r="A44" s="34" t="s">
        <v>16</v>
      </c>
      <c r="B44" s="449" t="s">
        <v>814</v>
      </c>
      <c r="C44" s="451"/>
      <c r="D44" s="118" t="s">
        <v>816</v>
      </c>
      <c r="E44" s="118">
        <v>4</v>
      </c>
      <c r="F44" s="521">
        <v>11200</v>
      </c>
      <c r="G44" s="522"/>
    </row>
    <row r="45" spans="1:7" s="67" customFormat="1" ht="15">
      <c r="A45" s="34" t="s">
        <v>18</v>
      </c>
      <c r="B45" s="148" t="s">
        <v>188</v>
      </c>
      <c r="C45" s="149"/>
      <c r="D45" s="118"/>
      <c r="E45" s="118"/>
      <c r="F45" s="495">
        <f>E26*1%</f>
        <v>342.43620000000004</v>
      </c>
      <c r="G45" s="495"/>
    </row>
    <row r="46" spans="1:7" ht="15">
      <c r="A46" s="67"/>
      <c r="B46" s="67"/>
      <c r="C46" s="67"/>
      <c r="D46" s="67"/>
      <c r="E46" s="67"/>
      <c r="F46" s="67"/>
      <c r="G46" s="67"/>
    </row>
    <row r="47" spans="1:7" ht="15">
      <c r="A47" s="67" t="s">
        <v>55</v>
      </c>
      <c r="B47" s="67"/>
      <c r="C47" s="67" t="s">
        <v>49</v>
      </c>
      <c r="D47" s="67"/>
      <c r="E47" s="67"/>
      <c r="F47" s="67" t="s">
        <v>90</v>
      </c>
      <c r="G47" s="67"/>
    </row>
    <row r="48" spans="1:7" ht="15">
      <c r="A48" s="67"/>
      <c r="B48" s="67"/>
      <c r="C48" s="67"/>
      <c r="D48" s="67"/>
      <c r="E48" s="67"/>
      <c r="F48" s="126" t="s">
        <v>545</v>
      </c>
      <c r="G48" s="67"/>
    </row>
    <row r="49" spans="1:7" ht="15">
      <c r="A49" s="67" t="s">
        <v>50</v>
      </c>
      <c r="B49" s="67"/>
      <c r="C49" s="67"/>
      <c r="D49" s="67"/>
      <c r="E49" s="67"/>
      <c r="F49" s="67"/>
      <c r="G49" s="67"/>
    </row>
    <row r="50" spans="1:7" ht="15">
      <c r="A50" s="67"/>
      <c r="B50" s="67"/>
      <c r="C50" s="128" t="s">
        <v>51</v>
      </c>
      <c r="D50" s="67"/>
      <c r="E50" s="128"/>
      <c r="F50" s="128"/>
      <c r="G50" s="128"/>
    </row>
  </sheetData>
  <sheetProtection/>
  <mergeCells count="17">
    <mergeCell ref="F45:G45"/>
    <mergeCell ref="A34:C34"/>
    <mergeCell ref="F44:G44"/>
    <mergeCell ref="A1:I1"/>
    <mergeCell ref="A2:I2"/>
    <mergeCell ref="A5:I5"/>
    <mergeCell ref="A10:I10"/>
    <mergeCell ref="A3:K3"/>
    <mergeCell ref="A11:I11"/>
    <mergeCell ref="B44:C44"/>
    <mergeCell ref="A12:I12"/>
    <mergeCell ref="F42:G42"/>
    <mergeCell ref="B43:C43"/>
    <mergeCell ref="A33:F33"/>
    <mergeCell ref="F43:G43"/>
    <mergeCell ref="B42:C42"/>
    <mergeCell ref="A40:I4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7030A0"/>
  </sheetPr>
  <dimension ref="A1:K51"/>
  <sheetViews>
    <sheetView zoomScalePageLayoutView="0" workbookViewId="0" topLeftCell="A39">
      <selection activeCell="B42" sqref="B42:G42"/>
    </sheetView>
  </sheetViews>
  <sheetFormatPr defaultColWidth="9.140625" defaultRowHeight="15" outlineLevelCol="1"/>
  <cols>
    <col min="1" max="1" width="4.7109375" style="35" customWidth="1"/>
    <col min="2" max="2" width="48.7109375" style="35" customWidth="1"/>
    <col min="3" max="3" width="14.28125" style="35" customWidth="1"/>
    <col min="4" max="4" width="13.28125" style="35" customWidth="1"/>
    <col min="5" max="5" width="13.00390625" style="35" customWidth="1"/>
    <col min="6" max="6" width="13.28125" style="35" customWidth="1"/>
    <col min="7" max="7" width="14.003906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9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5.7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6.75" customHeight="1"/>
    <row r="7" spans="1:6" s="67" customFormat="1" ht="16.5" customHeight="1">
      <c r="A7" s="67" t="s">
        <v>2</v>
      </c>
      <c r="F7" s="126" t="s">
        <v>123</v>
      </c>
    </row>
    <row r="8" spans="1:6" s="67" customFormat="1" ht="15">
      <c r="A8" s="67" t="s">
        <v>3</v>
      </c>
      <c r="F8" s="291" t="s">
        <v>82</v>
      </c>
    </row>
    <row r="9" s="67" customFormat="1" ht="6.75" customHeight="1"/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'[2]Телевизионная 6 к.1'!$G$35</f>
        <v>2910.05</v>
      </c>
      <c r="H14" s="62"/>
      <c r="I14" s="62"/>
    </row>
    <row r="15" spans="1:7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'[2]Телевизионная 6 к.1'!$G$36</f>
        <v>53609.46019999999</v>
      </c>
    </row>
    <row r="16" s="67" customFormat="1" ht="15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67" customFormat="1" ht="15">
      <c r="A18" s="75" t="s">
        <v>14</v>
      </c>
      <c r="B18" s="41" t="s">
        <v>15</v>
      </c>
      <c r="C18" s="135">
        <f>C19+C20+C21+C22</f>
        <v>9.879999999999999</v>
      </c>
      <c r="D18" s="76">
        <v>113054.32</v>
      </c>
      <c r="E18" s="76">
        <v>114587.79</v>
      </c>
      <c r="F18" s="76">
        <f aca="true" t="shared" si="0" ref="F18:F25">D18</f>
        <v>113054.32</v>
      </c>
      <c r="G18" s="77">
        <f>D18-E18</f>
        <v>-1533.4699999999866</v>
      </c>
      <c r="H18" s="145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39591.897489878545</v>
      </c>
      <c r="E19" s="83">
        <f>E18*I19</f>
        <v>40128.92240890688</v>
      </c>
      <c r="F19" s="83">
        <f t="shared" si="0"/>
        <v>39591.897489878545</v>
      </c>
      <c r="G19" s="84">
        <f>D19-E19</f>
        <v>-537.0249190283357</v>
      </c>
      <c r="H19" s="145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19338.238947368423</v>
      </c>
      <c r="E20" s="83">
        <f>E18*I20</f>
        <v>19600.54302631579</v>
      </c>
      <c r="F20" s="83">
        <f t="shared" si="0"/>
        <v>19338.238947368423</v>
      </c>
      <c r="G20" s="84">
        <f>D20-E20</f>
        <v>-262.3040789473671</v>
      </c>
      <c r="H20" s="145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19338.238947368423</v>
      </c>
      <c r="E21" s="83">
        <f>E18*I21</f>
        <v>19600.54302631579</v>
      </c>
      <c r="F21" s="83">
        <f t="shared" si="0"/>
        <v>19338.238947368423</v>
      </c>
      <c r="G21" s="84">
        <f>D21-E21</f>
        <v>-262.3040789473671</v>
      </c>
      <c r="H21" s="145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34785.94461538462</v>
      </c>
      <c r="E22" s="83">
        <f>E18*I22</f>
        <v>35257.78153846154</v>
      </c>
      <c r="F22" s="83">
        <f t="shared" si="0"/>
        <v>34785.94461538462</v>
      </c>
      <c r="G22" s="84">
        <f>D22-E22</f>
        <v>-471.8369230769167</v>
      </c>
      <c r="H22" s="145">
        <f>C22</f>
        <v>3.04</v>
      </c>
      <c r="I22" s="67">
        <f>H22/H18</f>
        <v>0.3076923076923077</v>
      </c>
    </row>
    <row r="23" spans="1:9" ht="15">
      <c r="A23" s="41" t="s">
        <v>25</v>
      </c>
      <c r="B23" s="86" t="s">
        <v>462</v>
      </c>
      <c r="C23" s="46">
        <v>130</v>
      </c>
      <c r="D23" s="77">
        <v>23400</v>
      </c>
      <c r="E23" s="77">
        <v>21517.58</v>
      </c>
      <c r="F23" s="77">
        <f t="shared" si="0"/>
        <v>23400</v>
      </c>
      <c r="G23" s="77">
        <f aca="true" t="shared" si="1" ref="G23:G32">D23-E23</f>
        <v>1882.4199999999983</v>
      </c>
      <c r="H23" s="35">
        <f>20*130</f>
        <v>2600</v>
      </c>
      <c r="I23" s="35">
        <f>D23/H23</f>
        <v>9</v>
      </c>
    </row>
    <row r="24" spans="1:7" ht="15">
      <c r="A24" s="41" t="s">
        <v>27</v>
      </c>
      <c r="B24" s="140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ht="15">
      <c r="A25" s="41" t="s">
        <v>29</v>
      </c>
      <c r="B25" s="140" t="s">
        <v>161</v>
      </c>
      <c r="C25" s="141">
        <v>0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</row>
    <row r="26" spans="1:7" ht="15">
      <c r="A26" s="41" t="s">
        <v>31</v>
      </c>
      <c r="B26" s="140" t="s">
        <v>116</v>
      </c>
      <c r="C26" s="97">
        <v>1.86</v>
      </c>
      <c r="D26" s="77">
        <v>20097</v>
      </c>
      <c r="E26" s="77">
        <v>20423.74</v>
      </c>
      <c r="F26" s="87">
        <f>F41</f>
        <v>8604.2374</v>
      </c>
      <c r="G26" s="77">
        <f t="shared" si="1"/>
        <v>-326.7400000000016</v>
      </c>
    </row>
    <row r="27" spans="1:7" ht="15">
      <c r="A27" s="41" t="s">
        <v>33</v>
      </c>
      <c r="B27" s="134" t="s">
        <v>34</v>
      </c>
      <c r="C27" s="46">
        <v>0</v>
      </c>
      <c r="D27" s="77">
        <v>0</v>
      </c>
      <c r="E27" s="77">
        <v>0</v>
      </c>
      <c r="F27" s="87">
        <v>0</v>
      </c>
      <c r="G27" s="77">
        <f t="shared" si="1"/>
        <v>0</v>
      </c>
    </row>
    <row r="28" spans="1:7" ht="15">
      <c r="A28" s="41" t="s">
        <v>35</v>
      </c>
      <c r="B28" s="134" t="s">
        <v>36</v>
      </c>
      <c r="C28" s="97"/>
      <c r="D28" s="77">
        <f>SUM(D29:D32)</f>
        <v>594478.77</v>
      </c>
      <c r="E28" s="77">
        <f>SUM(E29:E32)</f>
        <v>605947.3</v>
      </c>
      <c r="F28" s="77">
        <f>SUM(F29:F32)</f>
        <v>594478.77</v>
      </c>
      <c r="G28" s="77">
        <f t="shared" si="1"/>
        <v>-11468.530000000028</v>
      </c>
    </row>
    <row r="29" spans="1:7" ht="15">
      <c r="A29" s="34" t="s">
        <v>37</v>
      </c>
      <c r="B29" s="34" t="s">
        <v>165</v>
      </c>
      <c r="C29" s="285">
        <v>6</v>
      </c>
      <c r="D29" s="207">
        <v>9748.8</v>
      </c>
      <c r="E29" s="207">
        <v>9848.1</v>
      </c>
      <c r="F29" s="207">
        <f>D29</f>
        <v>9748.8</v>
      </c>
      <c r="G29" s="84">
        <f t="shared" si="1"/>
        <v>-99.30000000000109</v>
      </c>
    </row>
    <row r="30" spans="1:7" ht="15">
      <c r="A30" s="34" t="s">
        <v>39</v>
      </c>
      <c r="B30" s="34" t="s">
        <v>137</v>
      </c>
      <c r="C30" s="285">
        <v>57.08</v>
      </c>
      <c r="D30" s="207">
        <v>192218.76</v>
      </c>
      <c r="E30" s="207">
        <v>201985.38</v>
      </c>
      <c r="F30" s="207">
        <f>D30</f>
        <v>192218.76</v>
      </c>
      <c r="G30" s="84">
        <f t="shared" si="1"/>
        <v>-9766.619999999995</v>
      </c>
    </row>
    <row r="31" spans="1:7" ht="15">
      <c r="A31" s="34" t="s">
        <v>42</v>
      </c>
      <c r="B31" s="34" t="s">
        <v>340</v>
      </c>
      <c r="C31" s="286">
        <v>0</v>
      </c>
      <c r="D31" s="207">
        <v>0</v>
      </c>
      <c r="E31" s="207">
        <v>0</v>
      </c>
      <c r="F31" s="207">
        <f>D31</f>
        <v>0</v>
      </c>
      <c r="G31" s="84">
        <f t="shared" si="1"/>
        <v>0</v>
      </c>
    </row>
    <row r="32" spans="1:9" ht="15.75" thickBot="1">
      <c r="A32" s="34" t="s">
        <v>41</v>
      </c>
      <c r="B32" s="34" t="s">
        <v>43</v>
      </c>
      <c r="C32" s="285">
        <v>2638.8</v>
      </c>
      <c r="D32" s="207">
        <v>392511.21</v>
      </c>
      <c r="E32" s="207">
        <v>394113.82</v>
      </c>
      <c r="F32" s="207">
        <f>D32</f>
        <v>392511.21</v>
      </c>
      <c r="G32" s="84">
        <f t="shared" si="1"/>
        <v>-1602.609999999986</v>
      </c>
      <c r="H32" s="101"/>
      <c r="I32" s="101"/>
    </row>
    <row r="33" spans="1:10" s="102" customFormat="1" ht="14.25" thickBot="1">
      <c r="A33" s="455" t="s">
        <v>413</v>
      </c>
      <c r="B33" s="456"/>
      <c r="C33" s="456"/>
      <c r="D33" s="65">
        <v>176617.12</v>
      </c>
      <c r="E33" s="66"/>
      <c r="F33" s="66"/>
      <c r="G33" s="66"/>
      <c r="H33" s="62"/>
      <c r="I33" s="62"/>
      <c r="J33" s="101"/>
    </row>
    <row r="34" spans="1:9" s="67" customFormat="1" ht="10.5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414</v>
      </c>
      <c r="B35" s="64"/>
      <c r="C35" s="64"/>
      <c r="D35" s="69"/>
      <c r="E35" s="70"/>
      <c r="F35" s="70"/>
      <c r="G35" s="144">
        <f>G14+E27-F27</f>
        <v>2910.05</v>
      </c>
      <c r="H35" s="62"/>
      <c r="I35" s="62"/>
    </row>
    <row r="36" spans="1:9" s="67" customFormat="1" ht="15.75" thickBot="1">
      <c r="A36" s="63" t="s">
        <v>415</v>
      </c>
      <c r="B36" s="64"/>
      <c r="C36" s="64"/>
      <c r="D36" s="69"/>
      <c r="E36" s="70"/>
      <c r="F36" s="70"/>
      <c r="G36" s="144">
        <f>G15+E26-F26</f>
        <v>65428.962799999994</v>
      </c>
      <c r="H36" s="62"/>
      <c r="I36" s="62"/>
    </row>
    <row r="37" spans="1:9" s="67" customFormat="1" ht="15">
      <c r="A37" s="68"/>
      <c r="B37" s="68"/>
      <c r="C37" s="68"/>
      <c r="D37" s="40"/>
      <c r="E37" s="66"/>
      <c r="F37" s="66"/>
      <c r="G37" s="40"/>
      <c r="H37" s="62"/>
      <c r="I37" s="62"/>
    </row>
    <row r="38" spans="1:9" s="67" customFormat="1" ht="24" customHeight="1">
      <c r="A38" s="537" t="s">
        <v>44</v>
      </c>
      <c r="B38" s="537"/>
      <c r="C38" s="537"/>
      <c r="D38" s="537"/>
      <c r="E38" s="537"/>
      <c r="F38" s="537"/>
      <c r="G38" s="537"/>
      <c r="H38" s="537"/>
      <c r="I38" s="537"/>
    </row>
    <row r="40" spans="1:9" ht="28.5">
      <c r="A40" s="105" t="s">
        <v>11</v>
      </c>
      <c r="B40" s="471" t="s">
        <v>45</v>
      </c>
      <c r="C40" s="484"/>
      <c r="D40" s="105" t="s">
        <v>163</v>
      </c>
      <c r="E40" s="105" t="s">
        <v>162</v>
      </c>
      <c r="F40" s="471" t="s">
        <v>46</v>
      </c>
      <c r="G40" s="484"/>
      <c r="H40" s="171"/>
      <c r="I40" s="171"/>
    </row>
    <row r="41" spans="1:9" s="171" customFormat="1" ht="15">
      <c r="A41" s="109" t="s">
        <v>47</v>
      </c>
      <c r="B41" s="473" t="s">
        <v>111</v>
      </c>
      <c r="C41" s="491"/>
      <c r="D41" s="110"/>
      <c r="E41" s="110"/>
      <c r="F41" s="496">
        <f>SUM(F42:L45)</f>
        <v>8604.2374</v>
      </c>
      <c r="G41" s="483"/>
      <c r="H41" s="114"/>
      <c r="I41" s="114"/>
    </row>
    <row r="42" spans="1:9" s="67" customFormat="1" ht="15">
      <c r="A42" s="34" t="s">
        <v>16</v>
      </c>
      <c r="B42" s="449" t="s">
        <v>814</v>
      </c>
      <c r="C42" s="451"/>
      <c r="D42" s="118" t="s">
        <v>391</v>
      </c>
      <c r="E42" s="118">
        <v>3</v>
      </c>
      <c r="F42" s="495">
        <v>8400</v>
      </c>
      <c r="G42" s="495"/>
      <c r="H42" s="35"/>
      <c r="I42" s="35"/>
    </row>
    <row r="43" spans="1:9" s="67" customFormat="1" ht="15">
      <c r="A43" s="34" t="s">
        <v>18</v>
      </c>
      <c r="B43" s="462"/>
      <c r="C43" s="489"/>
      <c r="D43" s="403"/>
      <c r="E43" s="403"/>
      <c r="F43" s="497"/>
      <c r="G43" s="497"/>
      <c r="H43" s="35"/>
      <c r="I43" s="35"/>
    </row>
    <row r="44" spans="1:9" s="67" customFormat="1" ht="15">
      <c r="A44" s="34" t="s">
        <v>20</v>
      </c>
      <c r="B44" s="462"/>
      <c r="C44" s="489"/>
      <c r="D44" s="403"/>
      <c r="E44" s="403"/>
      <c r="F44" s="497"/>
      <c r="G44" s="497"/>
      <c r="H44" s="35"/>
      <c r="I44" s="35"/>
    </row>
    <row r="45" spans="1:9" s="67" customFormat="1" ht="15">
      <c r="A45" s="34" t="s">
        <v>22</v>
      </c>
      <c r="B45" s="148" t="s">
        <v>188</v>
      </c>
      <c r="C45" s="149"/>
      <c r="D45" s="118"/>
      <c r="E45" s="118"/>
      <c r="F45" s="495">
        <f>E26*1%</f>
        <v>204.2374</v>
      </c>
      <c r="G45" s="495"/>
      <c r="H45" s="35"/>
      <c r="I45" s="35"/>
    </row>
    <row r="46" s="67" customFormat="1" ht="11.25" customHeight="1"/>
    <row r="47" spans="1:6" s="67" customFormat="1" ht="15">
      <c r="A47" s="67" t="s">
        <v>55</v>
      </c>
      <c r="C47" s="67" t="s">
        <v>49</v>
      </c>
      <c r="F47" s="67" t="s">
        <v>90</v>
      </c>
    </row>
    <row r="48" s="67" customFormat="1" ht="15">
      <c r="F48" s="126" t="s">
        <v>545</v>
      </c>
    </row>
    <row r="49" spans="1:9" ht="15">
      <c r="A49" s="67" t="s">
        <v>50</v>
      </c>
      <c r="B49" s="67"/>
      <c r="C49" s="67"/>
      <c r="D49" s="67"/>
      <c r="E49" s="67"/>
      <c r="F49" s="67"/>
      <c r="G49" s="67"/>
      <c r="H49" s="67"/>
      <c r="I49" s="67"/>
    </row>
    <row r="50" spans="1:9" ht="15">
      <c r="A50" s="67"/>
      <c r="B50" s="67"/>
      <c r="C50" s="128" t="s">
        <v>51</v>
      </c>
      <c r="D50" s="67"/>
      <c r="E50" s="128"/>
      <c r="F50" s="128"/>
      <c r="G50" s="128"/>
      <c r="H50" s="67"/>
      <c r="I50" s="67"/>
    </row>
    <row r="51" spans="1:9" ht="15">
      <c r="A51" s="67"/>
      <c r="B51" s="67"/>
      <c r="C51" s="67"/>
      <c r="D51" s="67"/>
      <c r="E51" s="67"/>
      <c r="F51" s="67"/>
      <c r="G51" s="67"/>
      <c r="H51" s="67"/>
      <c r="I51" s="67"/>
    </row>
  </sheetData>
  <sheetProtection/>
  <mergeCells count="20">
    <mergeCell ref="B44:C44"/>
    <mergeCell ref="F44:G44"/>
    <mergeCell ref="A12:I12"/>
    <mergeCell ref="F41:G41"/>
    <mergeCell ref="A11:I11"/>
    <mergeCell ref="A1:I1"/>
    <mergeCell ref="A2:I2"/>
    <mergeCell ref="A5:I5"/>
    <mergeCell ref="A10:I10"/>
    <mergeCell ref="A3:K3"/>
    <mergeCell ref="F45:G45"/>
    <mergeCell ref="B42:C42"/>
    <mergeCell ref="F42:G42"/>
    <mergeCell ref="A33:C33"/>
    <mergeCell ref="A38:I38"/>
    <mergeCell ref="B40:C40"/>
    <mergeCell ref="F40:G40"/>
    <mergeCell ref="B41:C41"/>
    <mergeCell ref="F43:G43"/>
    <mergeCell ref="B43:C4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M58"/>
  <sheetViews>
    <sheetView zoomScalePageLayoutView="0" workbookViewId="0" topLeftCell="A46">
      <selection activeCell="M52" sqref="M52"/>
    </sheetView>
  </sheetViews>
  <sheetFormatPr defaultColWidth="9.140625" defaultRowHeight="15" outlineLevelCol="1"/>
  <cols>
    <col min="1" max="1" width="6.140625" style="35" customWidth="1"/>
    <col min="2" max="2" width="48.28125" style="35" customWidth="1"/>
    <col min="3" max="3" width="14.57421875" style="35" customWidth="1"/>
    <col min="4" max="4" width="13.140625" style="35" customWidth="1"/>
    <col min="5" max="5" width="13.00390625" style="35" customWidth="1"/>
    <col min="6" max="6" width="13.140625" style="35" customWidth="1"/>
    <col min="7" max="7" width="13.85156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 customHeight="1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 customHeight="1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4.2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8.2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3.5" customHeight="1">
      <c r="A5" s="476" t="s">
        <v>1</v>
      </c>
      <c r="B5" s="476"/>
      <c r="C5" s="476"/>
      <c r="D5" s="476"/>
      <c r="E5" s="476"/>
      <c r="F5" s="476"/>
      <c r="G5" s="476"/>
      <c r="H5" s="476"/>
      <c r="I5" s="476"/>
    </row>
    <row r="6" ht="3.75" customHeight="1"/>
    <row r="7" spans="1:9" s="67" customFormat="1" ht="16.5" customHeight="1">
      <c r="A7" s="67" t="s">
        <v>2</v>
      </c>
      <c r="F7" s="126" t="s">
        <v>83</v>
      </c>
      <c r="I7" s="67" t="s">
        <v>259</v>
      </c>
    </row>
    <row r="8" spans="1:9" s="67" customFormat="1" ht="15">
      <c r="A8" s="67" t="s">
        <v>3</v>
      </c>
      <c r="F8" s="291" t="s">
        <v>354</v>
      </c>
      <c r="I8" s="67">
        <v>375.5</v>
      </c>
    </row>
    <row r="9" spans="2:6" s="67" customFormat="1" ht="15.75" customHeight="1">
      <c r="B9" s="67" t="s">
        <v>507</v>
      </c>
      <c r="F9" s="291" t="s">
        <v>511</v>
      </c>
    </row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'[2]Пионерская 2'!$G$36</f>
        <v>5697.05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'[2]Пионерская 2'!$G$37</f>
        <v>-282682.44140000007</v>
      </c>
      <c r="H15" s="62"/>
      <c r="I15" s="62"/>
    </row>
    <row r="16" s="67" customFormat="1" ht="6.75" customHeight="1"/>
    <row r="17" spans="1:7" s="74" customFormat="1" ht="52.5" customHeight="1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67" customFormat="1" ht="15">
      <c r="A18" s="75" t="s">
        <v>14</v>
      </c>
      <c r="B18" s="41" t="s">
        <v>15</v>
      </c>
      <c r="C18" s="135">
        <f>C19+C20+C21+C22</f>
        <v>10.34</v>
      </c>
      <c r="D18" s="76">
        <v>722788.04</v>
      </c>
      <c r="E18" s="76">
        <v>712045.11</v>
      </c>
      <c r="F18" s="76">
        <f aca="true" t="shared" si="0" ref="F18:F25">D18</f>
        <v>722788.04</v>
      </c>
      <c r="G18" s="77">
        <f>D18-E18</f>
        <v>10742.930000000051</v>
      </c>
      <c r="H18" s="78">
        <f>C18</f>
        <v>10.34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241861.37508704065</v>
      </c>
      <c r="E19" s="83">
        <f>E18*I19</f>
        <v>238266.54551257254</v>
      </c>
      <c r="F19" s="83">
        <f t="shared" si="0"/>
        <v>241861.37508704065</v>
      </c>
      <c r="G19" s="84">
        <f>D19-E19</f>
        <v>3594.829574468109</v>
      </c>
      <c r="H19" s="78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118134.60228239845</v>
      </c>
      <c r="E20" s="83">
        <f>E18*I20</f>
        <v>116378.74621856865</v>
      </c>
      <c r="F20" s="83">
        <f t="shared" si="0"/>
        <v>118134.60228239845</v>
      </c>
      <c r="G20" s="84">
        <f>D20-E20</f>
        <v>1755.8560638298077</v>
      </c>
      <c r="H20" s="78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150289.5827852998</v>
      </c>
      <c r="E21" s="83">
        <f>E18*I21</f>
        <v>148055.80140232109</v>
      </c>
      <c r="F21" s="83">
        <f t="shared" si="0"/>
        <v>150289.5827852998</v>
      </c>
      <c r="G21" s="84">
        <f>D21-E21</f>
        <v>2233.781382978719</v>
      </c>
      <c r="H21" s="78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212502.47984526114</v>
      </c>
      <c r="E22" s="83">
        <f>E18*I22</f>
        <v>209344.0168665377</v>
      </c>
      <c r="F22" s="83">
        <f t="shared" si="0"/>
        <v>212502.47984526114</v>
      </c>
      <c r="G22" s="84">
        <f>D22-E22</f>
        <v>3158.46297872343</v>
      </c>
      <c r="H22" s="78">
        <f>C22</f>
        <v>3.04</v>
      </c>
      <c r="I22" s="67">
        <f>H22/H18</f>
        <v>0.2940038684719536</v>
      </c>
    </row>
    <row r="23" spans="1:9" ht="15">
      <c r="A23" s="41" t="s">
        <v>25</v>
      </c>
      <c r="B23" s="86" t="s">
        <v>462</v>
      </c>
      <c r="C23" s="141">
        <v>130</v>
      </c>
      <c r="D23" s="77">
        <v>140335</v>
      </c>
      <c r="E23" s="77">
        <v>135123.36</v>
      </c>
      <c r="F23" s="77">
        <f t="shared" si="0"/>
        <v>140335</v>
      </c>
      <c r="G23" s="77">
        <f aca="true" t="shared" si="1" ref="G23:G32">D23-E23</f>
        <v>5211.640000000014</v>
      </c>
      <c r="H23" s="35">
        <f>120*130</f>
        <v>15600</v>
      </c>
      <c r="I23" s="358">
        <f>D23/H23</f>
        <v>8.995833333333334</v>
      </c>
    </row>
    <row r="24" spans="1:7" ht="15">
      <c r="A24" s="41" t="s">
        <v>27</v>
      </c>
      <c r="B24" s="140" t="s">
        <v>28</v>
      </c>
      <c r="C24" s="141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ht="15">
      <c r="A25" s="41" t="s">
        <v>29</v>
      </c>
      <c r="B25" s="140" t="s">
        <v>161</v>
      </c>
      <c r="C25" s="141">
        <v>12.54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</row>
    <row r="26" spans="1:13" ht="15">
      <c r="A26" s="41" t="s">
        <v>31</v>
      </c>
      <c r="B26" s="140" t="s">
        <v>116</v>
      </c>
      <c r="C26" s="141">
        <v>2.06</v>
      </c>
      <c r="D26" s="77">
        <v>136252.2</v>
      </c>
      <c r="E26" s="77">
        <v>135012.7</v>
      </c>
      <c r="F26" s="87">
        <f>F44</f>
        <v>362873.757</v>
      </c>
      <c r="G26" s="77">
        <f t="shared" si="1"/>
        <v>1239.5</v>
      </c>
      <c r="M26" s="159"/>
    </row>
    <row r="27" spans="1:7" ht="15">
      <c r="A27" s="41" t="s">
        <v>33</v>
      </c>
      <c r="B27" s="134" t="s">
        <v>34</v>
      </c>
      <c r="C27" s="135">
        <v>0</v>
      </c>
      <c r="D27" s="77">
        <v>0</v>
      </c>
      <c r="E27" s="77">
        <v>0</v>
      </c>
      <c r="F27" s="87">
        <v>0</v>
      </c>
      <c r="G27" s="77">
        <f t="shared" si="1"/>
        <v>0</v>
      </c>
    </row>
    <row r="28" spans="1:7" ht="15">
      <c r="A28" s="41" t="s">
        <v>35</v>
      </c>
      <c r="B28" s="134" t="s">
        <v>36</v>
      </c>
      <c r="C28" s="135"/>
      <c r="D28" s="77">
        <f>SUM(D29:D32)</f>
        <v>3747127.18</v>
      </c>
      <c r="E28" s="77">
        <f>SUM(E29:E32)</f>
        <v>3662894.31</v>
      </c>
      <c r="F28" s="77">
        <f>SUM(F29:F32)</f>
        <v>3747127.18</v>
      </c>
      <c r="G28" s="77">
        <f t="shared" si="1"/>
        <v>84232.87000000011</v>
      </c>
    </row>
    <row r="29" spans="1:7" ht="15">
      <c r="A29" s="34" t="s">
        <v>37</v>
      </c>
      <c r="B29" s="34" t="s">
        <v>165</v>
      </c>
      <c r="C29" s="285">
        <v>6</v>
      </c>
      <c r="D29" s="84">
        <v>88345.54</v>
      </c>
      <c r="E29" s="84">
        <v>86918.6</v>
      </c>
      <c r="F29" s="84">
        <f>D29</f>
        <v>88345.54</v>
      </c>
      <c r="G29" s="84">
        <f t="shared" si="1"/>
        <v>1426.9399999999878</v>
      </c>
    </row>
    <row r="30" spans="1:7" ht="15">
      <c r="A30" s="34" t="s">
        <v>39</v>
      </c>
      <c r="B30" s="34" t="s">
        <v>137</v>
      </c>
      <c r="C30" s="285">
        <v>57.08</v>
      </c>
      <c r="D30" s="84">
        <v>476442.01</v>
      </c>
      <c r="E30" s="84">
        <v>456669.17</v>
      </c>
      <c r="F30" s="84">
        <f>D30</f>
        <v>476442.01</v>
      </c>
      <c r="G30" s="84">
        <f t="shared" si="1"/>
        <v>19772.840000000026</v>
      </c>
    </row>
    <row r="31" spans="1:7" ht="15">
      <c r="A31" s="34" t="s">
        <v>42</v>
      </c>
      <c r="B31" s="34" t="s">
        <v>340</v>
      </c>
      <c r="C31" s="286">
        <v>211.65</v>
      </c>
      <c r="D31" s="84">
        <v>779581.86</v>
      </c>
      <c r="E31" s="84">
        <v>736538.68</v>
      </c>
      <c r="F31" s="84">
        <f>D31</f>
        <v>779581.86</v>
      </c>
      <c r="G31" s="84">
        <f t="shared" si="1"/>
        <v>43043.179999999935</v>
      </c>
    </row>
    <row r="32" spans="1:7" ht="15">
      <c r="A32" s="34" t="s">
        <v>41</v>
      </c>
      <c r="B32" s="34" t="s">
        <v>43</v>
      </c>
      <c r="C32" s="285">
        <v>2638.8</v>
      </c>
      <c r="D32" s="84">
        <v>2402757.77</v>
      </c>
      <c r="E32" s="84">
        <v>2382767.86</v>
      </c>
      <c r="F32" s="84">
        <f>D32</f>
        <v>2402757.77</v>
      </c>
      <c r="G32" s="84">
        <f t="shared" si="1"/>
        <v>19989.91000000015</v>
      </c>
    </row>
    <row r="33" spans="1:7" ht="15.75" thickBot="1">
      <c r="A33" s="446" t="s">
        <v>294</v>
      </c>
      <c r="B33" s="447"/>
      <c r="C33" s="447"/>
      <c r="D33" s="448"/>
      <c r="E33" s="448"/>
      <c r="F33" s="448"/>
      <c r="G33" s="170"/>
    </row>
    <row r="34" spans="1:10" s="102" customFormat="1" ht="14.25" thickBot="1">
      <c r="A34" s="455" t="s">
        <v>413</v>
      </c>
      <c r="B34" s="456"/>
      <c r="C34" s="456"/>
      <c r="D34" s="65">
        <v>3131121.64</v>
      </c>
      <c r="E34" s="66"/>
      <c r="F34" s="66"/>
      <c r="G34" s="66"/>
      <c r="H34" s="101"/>
      <c r="I34" s="101"/>
      <c r="J34" s="101"/>
    </row>
    <row r="35" spans="1:9" s="67" customFormat="1" ht="5.25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414</v>
      </c>
      <c r="B36" s="64"/>
      <c r="C36" s="64"/>
      <c r="D36" s="69"/>
      <c r="E36" s="70"/>
      <c r="F36" s="70"/>
      <c r="G36" s="144">
        <f>G14+E27-F27</f>
        <v>5697.05</v>
      </c>
      <c r="H36" s="62"/>
      <c r="I36" s="62"/>
    </row>
    <row r="37" spans="1:9" s="67" customFormat="1" ht="15.75" thickBot="1">
      <c r="A37" s="63" t="s">
        <v>415</v>
      </c>
      <c r="B37" s="64"/>
      <c r="C37" s="64"/>
      <c r="D37" s="69"/>
      <c r="E37" s="70"/>
      <c r="F37" s="70"/>
      <c r="G37" s="144">
        <f>G15+E26-F26</f>
        <v>-510543.49840000004</v>
      </c>
      <c r="H37" s="62"/>
      <c r="I37" s="62"/>
    </row>
    <row r="38" spans="1:9" s="67" customFormat="1" ht="15">
      <c r="A38" s="516" t="s">
        <v>144</v>
      </c>
      <c r="B38" s="516"/>
      <c r="C38" s="68"/>
      <c r="D38" s="40"/>
      <c r="E38" s="66"/>
      <c r="F38" s="66"/>
      <c r="G38" s="40"/>
      <c r="H38" s="62"/>
      <c r="I38" s="62"/>
    </row>
    <row r="39" spans="1:9" s="67" customFormat="1" ht="15">
      <c r="A39" s="517" t="s">
        <v>145</v>
      </c>
      <c r="B39" s="518"/>
      <c r="C39" s="311" t="s">
        <v>146</v>
      </c>
      <c r="D39" s="311" t="s">
        <v>147</v>
      </c>
      <c r="E39" s="312" t="s">
        <v>148</v>
      </c>
      <c r="F39" s="313" t="s">
        <v>149</v>
      </c>
      <c r="G39" s="312" t="s">
        <v>150</v>
      </c>
      <c r="H39" s="62"/>
      <c r="I39" s="62"/>
    </row>
    <row r="40" spans="1:9" s="67" customFormat="1" ht="15">
      <c r="A40" s="519"/>
      <c r="B40" s="520"/>
      <c r="C40" s="294">
        <v>375.5</v>
      </c>
      <c r="D40" s="314">
        <f>E40/C40/12</f>
        <v>1.9000000000000001</v>
      </c>
      <c r="E40" s="309">
        <v>8561.4</v>
      </c>
      <c r="F40" s="315">
        <v>4280.7</v>
      </c>
      <c r="G40" s="314">
        <f>E40-F40</f>
        <v>4280.7</v>
      </c>
      <c r="H40" s="62"/>
      <c r="I40" s="62"/>
    </row>
    <row r="41" spans="1:9" ht="24.75" customHeight="1">
      <c r="A41" s="537" t="s">
        <v>44</v>
      </c>
      <c r="B41" s="537"/>
      <c r="C41" s="537"/>
      <c r="D41" s="537"/>
      <c r="E41" s="537"/>
      <c r="F41" s="537"/>
      <c r="G41" s="537"/>
      <c r="H41" s="537"/>
      <c r="I41" s="537"/>
    </row>
    <row r="42" ht="3" customHeight="1"/>
    <row r="43" spans="1:7" s="171" customFormat="1" ht="28.5" customHeight="1">
      <c r="A43" s="105" t="s">
        <v>11</v>
      </c>
      <c r="B43" s="471" t="s">
        <v>45</v>
      </c>
      <c r="C43" s="484"/>
      <c r="D43" s="105" t="s">
        <v>163</v>
      </c>
      <c r="E43" s="105" t="s">
        <v>162</v>
      </c>
      <c r="F43" s="471" t="s">
        <v>46</v>
      </c>
      <c r="G43" s="484"/>
    </row>
    <row r="44" spans="1:7" s="114" customFormat="1" ht="13.5" customHeight="1">
      <c r="A44" s="109" t="s">
        <v>47</v>
      </c>
      <c r="B44" s="473" t="s">
        <v>111</v>
      </c>
      <c r="C44" s="491"/>
      <c r="D44" s="110"/>
      <c r="E44" s="110"/>
      <c r="F44" s="496">
        <f>SUM(F45:L53)</f>
        <v>362873.757</v>
      </c>
      <c r="G44" s="483"/>
    </row>
    <row r="45" spans="1:7" ht="25.5" customHeight="1">
      <c r="A45" s="34" t="s">
        <v>16</v>
      </c>
      <c r="B45" s="462" t="s">
        <v>584</v>
      </c>
      <c r="C45" s="489"/>
      <c r="D45" s="403" t="s">
        <v>164</v>
      </c>
      <c r="E45" s="415">
        <v>1</v>
      </c>
      <c r="F45" s="525">
        <v>2391</v>
      </c>
      <c r="G45" s="526"/>
    </row>
    <row r="46" spans="1:7" ht="25.5" customHeight="1">
      <c r="A46" s="34" t="s">
        <v>18</v>
      </c>
      <c r="B46" s="462" t="s">
        <v>324</v>
      </c>
      <c r="C46" s="489"/>
      <c r="D46" s="403"/>
      <c r="E46" s="415" t="s">
        <v>221</v>
      </c>
      <c r="F46" s="525">
        <v>930</v>
      </c>
      <c r="G46" s="526"/>
    </row>
    <row r="47" spans="1:7" ht="25.5" customHeight="1">
      <c r="A47" s="34" t="s">
        <v>20</v>
      </c>
      <c r="B47" s="462" t="s">
        <v>324</v>
      </c>
      <c r="C47" s="489"/>
      <c r="D47" s="403"/>
      <c r="E47" s="415" t="s">
        <v>221</v>
      </c>
      <c r="F47" s="525">
        <v>10500</v>
      </c>
      <c r="G47" s="526"/>
    </row>
    <row r="48" spans="1:7" ht="25.5" customHeight="1">
      <c r="A48" s="34" t="s">
        <v>22</v>
      </c>
      <c r="B48" s="462" t="s">
        <v>796</v>
      </c>
      <c r="C48" s="489"/>
      <c r="D48" s="403"/>
      <c r="E48" s="415"/>
      <c r="F48" s="525">
        <v>249800</v>
      </c>
      <c r="G48" s="526"/>
    </row>
    <row r="49" spans="1:7" ht="13.5" customHeight="1">
      <c r="A49" s="34" t="s">
        <v>24</v>
      </c>
      <c r="B49" s="462" t="s">
        <v>585</v>
      </c>
      <c r="C49" s="489"/>
      <c r="D49" s="403" t="s">
        <v>216</v>
      </c>
      <c r="E49" s="415">
        <v>0.035</v>
      </c>
      <c r="F49" s="497">
        <v>10202.63</v>
      </c>
      <c r="G49" s="497"/>
    </row>
    <row r="50" spans="1:7" ht="13.5" customHeight="1">
      <c r="A50" s="34" t="s">
        <v>103</v>
      </c>
      <c r="B50" s="462" t="s">
        <v>586</v>
      </c>
      <c r="C50" s="489"/>
      <c r="D50" s="403"/>
      <c r="E50" s="415"/>
      <c r="F50" s="525">
        <v>38000</v>
      </c>
      <c r="G50" s="526"/>
    </row>
    <row r="51" spans="1:7" ht="13.5" customHeight="1">
      <c r="A51" s="34" t="s">
        <v>104</v>
      </c>
      <c r="B51" s="462" t="s">
        <v>587</v>
      </c>
      <c r="C51" s="489"/>
      <c r="D51" s="403"/>
      <c r="E51" s="415"/>
      <c r="F51" s="624">
        <v>27300</v>
      </c>
      <c r="G51" s="625"/>
    </row>
    <row r="52" spans="1:7" ht="13.5" customHeight="1">
      <c r="A52" s="34" t="s">
        <v>117</v>
      </c>
      <c r="B52" s="449" t="s">
        <v>814</v>
      </c>
      <c r="C52" s="451"/>
      <c r="D52" s="118" t="s">
        <v>391</v>
      </c>
      <c r="E52" s="651">
        <v>8</v>
      </c>
      <c r="F52" s="523">
        <v>22400</v>
      </c>
      <c r="G52" s="524"/>
    </row>
    <row r="53" spans="1:9" s="67" customFormat="1" ht="15">
      <c r="A53" s="34" t="s">
        <v>118</v>
      </c>
      <c r="B53" s="148" t="s">
        <v>188</v>
      </c>
      <c r="C53" s="149"/>
      <c r="D53" s="118"/>
      <c r="E53" s="118"/>
      <c r="F53" s="495">
        <f>E26*1%</f>
        <v>1350.1270000000002</v>
      </c>
      <c r="G53" s="495"/>
      <c r="H53" s="35"/>
      <c r="I53" s="35"/>
    </row>
    <row r="54" s="67" customFormat="1" ht="12.75" customHeight="1"/>
    <row r="55" spans="1:6" s="67" customFormat="1" ht="15">
      <c r="A55" s="67" t="s">
        <v>55</v>
      </c>
      <c r="C55" s="67" t="s">
        <v>49</v>
      </c>
      <c r="F55" s="67" t="s">
        <v>90</v>
      </c>
    </row>
    <row r="56" s="67" customFormat="1" ht="15">
      <c r="F56" s="126" t="s">
        <v>545</v>
      </c>
    </row>
    <row r="57" spans="1:9" ht="15">
      <c r="A57" s="67" t="s">
        <v>50</v>
      </c>
      <c r="B57" s="67"/>
      <c r="C57" s="67"/>
      <c r="D57" s="67"/>
      <c r="E57" s="67"/>
      <c r="F57" s="67"/>
      <c r="G57" s="67"/>
      <c r="H57" s="67"/>
      <c r="I57" s="67"/>
    </row>
    <row r="58" spans="1:9" ht="15">
      <c r="A58" s="67"/>
      <c r="B58" s="67"/>
      <c r="C58" s="128" t="s">
        <v>51</v>
      </c>
      <c r="D58" s="67"/>
      <c r="E58" s="128"/>
      <c r="F58" s="128"/>
      <c r="G58" s="128"/>
      <c r="H58" s="67"/>
      <c r="I58" s="67"/>
    </row>
  </sheetData>
  <sheetProtection/>
  <mergeCells count="33">
    <mergeCell ref="F52:G52"/>
    <mergeCell ref="A1:I1"/>
    <mergeCell ref="A2:I2"/>
    <mergeCell ref="A5:I5"/>
    <mergeCell ref="A10:I10"/>
    <mergeCell ref="A3:K3"/>
    <mergeCell ref="A38:B38"/>
    <mergeCell ref="F53:G53"/>
    <mergeCell ref="B50:C50"/>
    <mergeCell ref="B51:C51"/>
    <mergeCell ref="F50:G50"/>
    <mergeCell ref="F51:G51"/>
    <mergeCell ref="B46:C46"/>
    <mergeCell ref="B47:C47"/>
    <mergeCell ref="F49:G49"/>
    <mergeCell ref="B49:C49"/>
    <mergeCell ref="B52:C52"/>
    <mergeCell ref="A11:I11"/>
    <mergeCell ref="F45:G45"/>
    <mergeCell ref="B44:C44"/>
    <mergeCell ref="B45:C45"/>
    <mergeCell ref="F44:G44"/>
    <mergeCell ref="A33:F33"/>
    <mergeCell ref="A41:I41"/>
    <mergeCell ref="F43:G43"/>
    <mergeCell ref="A34:C34"/>
    <mergeCell ref="B43:C43"/>
    <mergeCell ref="A39:B40"/>
    <mergeCell ref="B48:C48"/>
    <mergeCell ref="F46:G46"/>
    <mergeCell ref="F47:G47"/>
    <mergeCell ref="F48:G48"/>
    <mergeCell ref="A12:I12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7030A0"/>
  </sheetPr>
  <dimension ref="A1:M59"/>
  <sheetViews>
    <sheetView zoomScalePageLayoutView="0" workbookViewId="0" topLeftCell="A43">
      <selection activeCell="N53" sqref="N53"/>
    </sheetView>
  </sheetViews>
  <sheetFormatPr defaultColWidth="9.140625" defaultRowHeight="15" outlineLevelCol="1"/>
  <cols>
    <col min="1" max="1" width="4.7109375" style="35" customWidth="1"/>
    <col min="2" max="2" width="49.28125" style="35" customWidth="1"/>
    <col min="3" max="3" width="13.140625" style="35" customWidth="1"/>
    <col min="4" max="4" width="12.8515625" style="35" customWidth="1"/>
    <col min="5" max="5" width="13.140625" style="35" customWidth="1"/>
    <col min="6" max="6" width="12.85156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1" width="9.140625" style="35" hidden="1" customWidth="1" outlineLevel="1"/>
    <col min="12" max="12" width="0.7187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2.7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6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4.5" customHeight="1"/>
    <row r="7" spans="1:6" s="67" customFormat="1" ht="16.5" customHeight="1">
      <c r="A7" s="67" t="s">
        <v>2</v>
      </c>
      <c r="F7" s="60" t="s">
        <v>124</v>
      </c>
    </row>
    <row r="8" spans="1:11" s="67" customFormat="1" ht="15">
      <c r="A8" s="67" t="s">
        <v>3</v>
      </c>
      <c r="F8" s="291" t="s">
        <v>436</v>
      </c>
      <c r="I8" s="199">
        <f>248.4+304.5</f>
        <v>552.9</v>
      </c>
      <c r="J8" s="199">
        <f>4696.7-0.7</f>
        <v>4696</v>
      </c>
      <c r="K8" s="199">
        <f>I8+J8</f>
        <v>5248.9</v>
      </c>
    </row>
    <row r="9" spans="2:6" s="67" customFormat="1" ht="15.75" customHeight="1">
      <c r="B9" s="67" t="s">
        <v>507</v>
      </c>
      <c r="F9" s="291" t="s">
        <v>512</v>
      </c>
    </row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'[2]Телевизионная 2 к.1'!$G$36</f>
        <v>30752.97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'[2]Телевизионная 2 к.1'!$G$37</f>
        <v>-518320.19330000004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67" customFormat="1" ht="15">
      <c r="A18" s="75" t="s">
        <v>14</v>
      </c>
      <c r="B18" s="41" t="s">
        <v>15</v>
      </c>
      <c r="C18" s="135">
        <f>C19+C20+C21+C22</f>
        <v>10.18</v>
      </c>
      <c r="D18" s="76">
        <v>599175.12</v>
      </c>
      <c r="E18" s="76">
        <v>597609.29</v>
      </c>
      <c r="F18" s="76">
        <f aca="true" t="shared" si="0" ref="F18:F25">D18</f>
        <v>599175.12</v>
      </c>
      <c r="G18" s="77">
        <f>D18-E18</f>
        <v>1565.829999999958</v>
      </c>
      <c r="H18" s="78">
        <f>C18</f>
        <v>10.18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203648.91111984284</v>
      </c>
      <c r="E19" s="83">
        <f>E18*I19</f>
        <v>203116.71349705308</v>
      </c>
      <c r="F19" s="83">
        <f t="shared" si="0"/>
        <v>203648.91111984284</v>
      </c>
      <c r="G19" s="84">
        <f>D19-E19</f>
        <v>532.1976227897685</v>
      </c>
      <c r="H19" s="78">
        <f>C19</f>
        <v>3.46</v>
      </c>
      <c r="I19" s="67">
        <f>H19/H18</f>
        <v>0.33988212180746563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99470.13288801571</v>
      </c>
      <c r="E20" s="83">
        <f>E18*I20</f>
        <v>99210.1866502947</v>
      </c>
      <c r="F20" s="83">
        <f t="shared" si="0"/>
        <v>99470.13288801571</v>
      </c>
      <c r="G20" s="84">
        <f>D20-E20</f>
        <v>259.94623772101477</v>
      </c>
      <c r="H20" s="78">
        <f>C20</f>
        <v>1.69</v>
      </c>
      <c r="I20" s="67">
        <f>H20/H18</f>
        <v>0.16601178781925344</v>
      </c>
    </row>
    <row r="21" spans="1:9" s="67" customFormat="1" ht="15">
      <c r="A21" s="81" t="s">
        <v>20</v>
      </c>
      <c r="B21" s="34" t="s">
        <v>21</v>
      </c>
      <c r="C21" s="99">
        <v>1.99</v>
      </c>
      <c r="D21" s="83">
        <f>D18*I21</f>
        <v>117127.55292730845</v>
      </c>
      <c r="E21" s="83">
        <f>E18*I21</f>
        <v>116821.4623870334</v>
      </c>
      <c r="F21" s="83">
        <f t="shared" si="0"/>
        <v>117127.55292730845</v>
      </c>
      <c r="G21" s="84">
        <f>D21-E21</f>
        <v>306.09054027505044</v>
      </c>
      <c r="H21" s="78">
        <f>C21</f>
        <v>1.99</v>
      </c>
      <c r="I21" s="67">
        <f>H21/H18</f>
        <v>0.19548133595284872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178928.52306483302</v>
      </c>
      <c r="E22" s="83">
        <f>E18*I22</f>
        <v>178460.92746561888</v>
      </c>
      <c r="F22" s="83">
        <f t="shared" si="0"/>
        <v>178928.52306483302</v>
      </c>
      <c r="G22" s="84">
        <f>D22-E22</f>
        <v>467.59559921413893</v>
      </c>
      <c r="H22" s="78">
        <f>C22</f>
        <v>3.04</v>
      </c>
      <c r="I22" s="67">
        <f>H22/H18</f>
        <v>0.29862475442043224</v>
      </c>
    </row>
    <row r="23" spans="1:7" ht="15">
      <c r="A23" s="41" t="s">
        <v>25</v>
      </c>
      <c r="B23" s="140" t="s">
        <v>169</v>
      </c>
      <c r="C23" s="141">
        <v>3.86</v>
      </c>
      <c r="D23" s="77">
        <v>228092.72</v>
      </c>
      <c r="E23" s="77">
        <v>223602.03</v>
      </c>
      <c r="F23" s="77">
        <f t="shared" si="0"/>
        <v>228092.72</v>
      </c>
      <c r="G23" s="77">
        <f aca="true" t="shared" si="1" ref="G23:G32">D23-E23</f>
        <v>4490.690000000002</v>
      </c>
    </row>
    <row r="24" spans="1:7" ht="15">
      <c r="A24" s="41" t="s">
        <v>27</v>
      </c>
      <c r="B24" s="86" t="s">
        <v>462</v>
      </c>
      <c r="C24" s="141">
        <v>120</v>
      </c>
      <c r="D24" s="77">
        <v>205920</v>
      </c>
      <c r="E24" s="77">
        <v>202224.89</v>
      </c>
      <c r="F24" s="77">
        <f t="shared" si="0"/>
        <v>205920</v>
      </c>
      <c r="G24" s="77">
        <f t="shared" si="1"/>
        <v>3695.109999999986</v>
      </c>
    </row>
    <row r="25" spans="1:7" ht="15">
      <c r="A25" s="41" t="s">
        <v>29</v>
      </c>
      <c r="B25" s="140" t="s">
        <v>161</v>
      </c>
      <c r="C25" s="141">
        <v>12.54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</row>
    <row r="26" spans="1:13" ht="15">
      <c r="A26" s="41" t="s">
        <v>31</v>
      </c>
      <c r="B26" s="140" t="s">
        <v>116</v>
      </c>
      <c r="C26" s="141">
        <v>2.06</v>
      </c>
      <c r="D26" s="77">
        <v>121216.5</v>
      </c>
      <c r="E26" s="77">
        <v>120057.56</v>
      </c>
      <c r="F26" s="87">
        <f>F43</f>
        <v>284982.2356</v>
      </c>
      <c r="G26" s="77">
        <f t="shared" si="1"/>
        <v>1158.9400000000023</v>
      </c>
      <c r="M26" s="159"/>
    </row>
    <row r="27" spans="1:7" ht="15">
      <c r="A27" s="41" t="s">
        <v>33</v>
      </c>
      <c r="B27" s="134" t="s">
        <v>34</v>
      </c>
      <c r="C27" s="135">
        <v>0</v>
      </c>
      <c r="D27" s="77">
        <v>0</v>
      </c>
      <c r="E27" s="77">
        <v>433.32</v>
      </c>
      <c r="F27" s="87">
        <v>0</v>
      </c>
      <c r="G27" s="77">
        <f t="shared" si="1"/>
        <v>-433.32</v>
      </c>
    </row>
    <row r="28" spans="1:7" ht="15">
      <c r="A28" s="41" t="s">
        <v>35</v>
      </c>
      <c r="B28" s="134" t="s">
        <v>36</v>
      </c>
      <c r="C28" s="135"/>
      <c r="D28" s="77">
        <f>SUM(D29:D32)</f>
        <v>3698958.59</v>
      </c>
      <c r="E28" s="77">
        <f>SUM(E29:E32)</f>
        <v>3790023.4299999997</v>
      </c>
      <c r="F28" s="77">
        <f>SUM(F29:F32)</f>
        <v>3698958.59</v>
      </c>
      <c r="G28" s="77">
        <f t="shared" si="1"/>
        <v>-91064.83999999985</v>
      </c>
    </row>
    <row r="29" spans="1:7" ht="15">
      <c r="A29" s="34" t="s">
        <v>37</v>
      </c>
      <c r="B29" s="34" t="s">
        <v>165</v>
      </c>
      <c r="C29" s="285">
        <v>6</v>
      </c>
      <c r="D29" s="84">
        <v>127007.2</v>
      </c>
      <c r="E29" s="84">
        <v>123684.18</v>
      </c>
      <c r="F29" s="84">
        <f>D29</f>
        <v>127007.2</v>
      </c>
      <c r="G29" s="84">
        <f t="shared" si="1"/>
        <v>3323.020000000004</v>
      </c>
    </row>
    <row r="30" spans="1:7" ht="15">
      <c r="A30" s="34" t="s">
        <v>39</v>
      </c>
      <c r="B30" s="34" t="s">
        <v>137</v>
      </c>
      <c r="C30" s="285">
        <v>57.08</v>
      </c>
      <c r="D30" s="84">
        <v>585557.12</v>
      </c>
      <c r="E30" s="84">
        <v>595377.74</v>
      </c>
      <c r="F30" s="84">
        <f>D30</f>
        <v>585557.12</v>
      </c>
      <c r="G30" s="84">
        <f t="shared" si="1"/>
        <v>-9820.619999999995</v>
      </c>
    </row>
    <row r="31" spans="1:7" ht="15">
      <c r="A31" s="34" t="s">
        <v>42</v>
      </c>
      <c r="B31" s="34" t="s">
        <v>340</v>
      </c>
      <c r="C31" s="286">
        <v>211.65</v>
      </c>
      <c r="D31" s="84">
        <v>939050.05</v>
      </c>
      <c r="E31" s="84">
        <v>974822.79</v>
      </c>
      <c r="F31" s="84">
        <f>D31</f>
        <v>939050.05</v>
      </c>
      <c r="G31" s="84">
        <f t="shared" si="1"/>
        <v>-35772.73999999999</v>
      </c>
    </row>
    <row r="32" spans="1:7" ht="15">
      <c r="A32" s="34" t="s">
        <v>41</v>
      </c>
      <c r="B32" s="34" t="s">
        <v>43</v>
      </c>
      <c r="C32" s="285">
        <v>2638.8</v>
      </c>
      <c r="D32" s="84">
        <v>2047344.22</v>
      </c>
      <c r="E32" s="84">
        <v>2096138.72</v>
      </c>
      <c r="F32" s="84">
        <f>D32</f>
        <v>2047344.22</v>
      </c>
      <c r="G32" s="84">
        <f t="shared" si="1"/>
        <v>-48794.5</v>
      </c>
    </row>
    <row r="33" spans="1:7" ht="15.75" thickBot="1">
      <c r="A33" s="446" t="s">
        <v>294</v>
      </c>
      <c r="B33" s="447"/>
      <c r="C33" s="447"/>
      <c r="D33" s="448"/>
      <c r="E33" s="448"/>
      <c r="F33" s="448"/>
      <c r="G33" s="170"/>
    </row>
    <row r="34" spans="1:10" s="102" customFormat="1" ht="14.25" thickBot="1">
      <c r="A34" s="455" t="s">
        <v>413</v>
      </c>
      <c r="B34" s="456"/>
      <c r="C34" s="456"/>
      <c r="D34" s="65">
        <v>2813622.77</v>
      </c>
      <c r="E34" s="66"/>
      <c r="F34" s="66"/>
      <c r="G34" s="66"/>
      <c r="H34" s="101"/>
      <c r="I34" s="101"/>
      <c r="J34" s="101"/>
    </row>
    <row r="35" spans="1:9" s="67" customFormat="1" ht="15.75" thickBot="1">
      <c r="A35" s="63" t="s">
        <v>414</v>
      </c>
      <c r="B35" s="64"/>
      <c r="C35" s="64"/>
      <c r="D35" s="69"/>
      <c r="E35" s="70"/>
      <c r="F35" s="70"/>
      <c r="G35" s="144">
        <f>G14+E27-F27</f>
        <v>31186.29</v>
      </c>
      <c r="H35" s="62"/>
      <c r="I35" s="62"/>
    </row>
    <row r="36" spans="1:9" s="67" customFormat="1" ht="15.75" thickBot="1">
      <c r="A36" s="63" t="s">
        <v>415</v>
      </c>
      <c r="B36" s="64"/>
      <c r="C36" s="64"/>
      <c r="D36" s="69"/>
      <c r="E36" s="70"/>
      <c r="F36" s="70"/>
      <c r="G36" s="144">
        <f>G15+E26-F26</f>
        <v>-683244.8689000001</v>
      </c>
      <c r="H36" s="62"/>
      <c r="I36" s="62"/>
    </row>
    <row r="37" spans="1:9" s="67" customFormat="1" ht="15">
      <c r="A37" s="516" t="s">
        <v>144</v>
      </c>
      <c r="B37" s="516"/>
      <c r="C37" s="68"/>
      <c r="D37" s="40"/>
      <c r="E37" s="66"/>
      <c r="F37" s="66"/>
      <c r="G37" s="40"/>
      <c r="H37" s="62"/>
      <c r="I37" s="62"/>
    </row>
    <row r="38" spans="1:9" s="67" customFormat="1" ht="15">
      <c r="A38" s="517" t="s">
        <v>145</v>
      </c>
      <c r="B38" s="518"/>
      <c r="C38" s="311" t="s">
        <v>146</v>
      </c>
      <c r="D38" s="311" t="s">
        <v>147</v>
      </c>
      <c r="E38" s="312" t="s">
        <v>148</v>
      </c>
      <c r="F38" s="313" t="s">
        <v>149</v>
      </c>
      <c r="G38" s="312" t="s">
        <v>150</v>
      </c>
      <c r="H38" s="62"/>
      <c r="I38" s="62"/>
    </row>
    <row r="39" spans="1:9" s="67" customFormat="1" ht="15">
      <c r="A39" s="519"/>
      <c r="B39" s="520"/>
      <c r="C39" s="294">
        <f>304.5+248.4</f>
        <v>552.9</v>
      </c>
      <c r="D39" s="314">
        <f>E39/C39/12</f>
        <v>7.910677036233196</v>
      </c>
      <c r="E39" s="309">
        <f>46164.96+6320.8</f>
        <v>52485.76</v>
      </c>
      <c r="F39" s="315">
        <f>46044.96+3160.4</f>
        <v>49205.36</v>
      </c>
      <c r="G39" s="314">
        <f>E39-F39</f>
        <v>3280.4000000000015</v>
      </c>
      <c r="H39" s="62"/>
      <c r="I39" s="62"/>
    </row>
    <row r="40" spans="1:9" s="67" customFormat="1" ht="24.75" customHeight="1">
      <c r="A40" s="537" t="s">
        <v>44</v>
      </c>
      <c r="B40" s="537"/>
      <c r="C40" s="537"/>
      <c r="D40" s="537"/>
      <c r="E40" s="537"/>
      <c r="F40" s="537"/>
      <c r="G40" s="537"/>
      <c r="H40" s="537"/>
      <c r="I40" s="537"/>
    </row>
    <row r="42" spans="1:9" ht="28.5">
      <c r="A42" s="105" t="s">
        <v>11</v>
      </c>
      <c r="B42" s="471" t="s">
        <v>45</v>
      </c>
      <c r="C42" s="484"/>
      <c r="D42" s="105" t="s">
        <v>163</v>
      </c>
      <c r="E42" s="105" t="s">
        <v>162</v>
      </c>
      <c r="F42" s="471" t="s">
        <v>46</v>
      </c>
      <c r="G42" s="484"/>
      <c r="H42" s="171"/>
      <c r="I42" s="171"/>
    </row>
    <row r="43" spans="1:9" s="171" customFormat="1" ht="15">
      <c r="A43" s="109" t="s">
        <v>47</v>
      </c>
      <c r="B43" s="473" t="s">
        <v>111</v>
      </c>
      <c r="C43" s="491"/>
      <c r="D43" s="110"/>
      <c r="E43" s="110"/>
      <c r="F43" s="496">
        <f>SUM(F44:G54)</f>
        <v>284982.2356</v>
      </c>
      <c r="G43" s="483"/>
      <c r="H43" s="114"/>
      <c r="I43" s="114"/>
    </row>
    <row r="44" spans="1:9" s="171" customFormat="1" ht="26.25">
      <c r="A44" s="201" t="s">
        <v>16</v>
      </c>
      <c r="B44" s="513" t="s">
        <v>326</v>
      </c>
      <c r="C44" s="514"/>
      <c r="D44" s="202"/>
      <c r="E44" s="351" t="s">
        <v>221</v>
      </c>
      <c r="F44" s="555">
        <v>3800</v>
      </c>
      <c r="G44" s="556"/>
      <c r="H44" s="114"/>
      <c r="I44" s="114"/>
    </row>
    <row r="45" spans="1:9" s="171" customFormat="1" ht="26.25">
      <c r="A45" s="201" t="s">
        <v>18</v>
      </c>
      <c r="B45" s="513" t="s">
        <v>326</v>
      </c>
      <c r="C45" s="514"/>
      <c r="D45" s="348"/>
      <c r="E45" s="414" t="s">
        <v>221</v>
      </c>
      <c r="F45" s="555">
        <v>4850</v>
      </c>
      <c r="G45" s="556"/>
      <c r="H45" s="114"/>
      <c r="I45" s="114"/>
    </row>
    <row r="46" spans="1:9" s="171" customFormat="1" ht="26.25">
      <c r="A46" s="201" t="s">
        <v>20</v>
      </c>
      <c r="B46" s="513" t="s">
        <v>326</v>
      </c>
      <c r="C46" s="514"/>
      <c r="D46" s="348"/>
      <c r="E46" s="414" t="s">
        <v>221</v>
      </c>
      <c r="F46" s="555">
        <v>4930</v>
      </c>
      <c r="G46" s="556"/>
      <c r="H46" s="114"/>
      <c r="I46" s="114"/>
    </row>
    <row r="47" spans="1:9" s="171" customFormat="1" ht="26.25">
      <c r="A47" s="201" t="s">
        <v>22</v>
      </c>
      <c r="B47" s="513" t="s">
        <v>326</v>
      </c>
      <c r="C47" s="514"/>
      <c r="D47" s="348"/>
      <c r="E47" s="414" t="s">
        <v>221</v>
      </c>
      <c r="F47" s="555">
        <v>360</v>
      </c>
      <c r="G47" s="556"/>
      <c r="H47" s="114"/>
      <c r="I47" s="114"/>
    </row>
    <row r="48" spans="1:9" s="171" customFormat="1" ht="26.25">
      <c r="A48" s="201" t="s">
        <v>24</v>
      </c>
      <c r="B48" s="513" t="s">
        <v>326</v>
      </c>
      <c r="C48" s="514"/>
      <c r="D48" s="348"/>
      <c r="E48" s="414" t="s">
        <v>221</v>
      </c>
      <c r="F48" s="555">
        <v>1040</v>
      </c>
      <c r="G48" s="556"/>
      <c r="H48" s="114"/>
      <c r="I48" s="114"/>
    </row>
    <row r="49" spans="1:9" s="171" customFormat="1" ht="15">
      <c r="A49" s="201" t="s">
        <v>103</v>
      </c>
      <c r="B49" s="513" t="s">
        <v>168</v>
      </c>
      <c r="C49" s="514"/>
      <c r="D49" s="348" t="s">
        <v>227</v>
      </c>
      <c r="E49" s="351">
        <v>2.8</v>
      </c>
      <c r="F49" s="555">
        <v>218845.42</v>
      </c>
      <c r="G49" s="556"/>
      <c r="H49" s="114"/>
      <c r="I49" s="114"/>
    </row>
    <row r="50" spans="1:9" s="171" customFormat="1" ht="15">
      <c r="A50" s="201" t="s">
        <v>104</v>
      </c>
      <c r="B50" s="513" t="s">
        <v>588</v>
      </c>
      <c r="C50" s="514"/>
      <c r="D50" s="348" t="s">
        <v>227</v>
      </c>
      <c r="E50" s="351">
        <v>0.04</v>
      </c>
      <c r="F50" s="555">
        <v>6288.16</v>
      </c>
      <c r="G50" s="556"/>
      <c r="H50" s="114"/>
      <c r="I50" s="114"/>
    </row>
    <row r="51" spans="1:9" s="171" customFormat="1" ht="15">
      <c r="A51" s="201" t="s">
        <v>117</v>
      </c>
      <c r="B51" s="513" t="s">
        <v>589</v>
      </c>
      <c r="C51" s="514"/>
      <c r="D51" s="411" t="s">
        <v>590</v>
      </c>
      <c r="E51" s="414">
        <v>0.01</v>
      </c>
      <c r="F51" s="555">
        <v>12795.3</v>
      </c>
      <c r="G51" s="547"/>
      <c r="H51" s="114"/>
      <c r="I51" s="114"/>
    </row>
    <row r="52" spans="1:9" s="171" customFormat="1" ht="15">
      <c r="A52" s="139" t="s">
        <v>118</v>
      </c>
      <c r="B52" s="513" t="s">
        <v>591</v>
      </c>
      <c r="C52" s="514"/>
      <c r="D52" s="348" t="s">
        <v>227</v>
      </c>
      <c r="E52" s="351">
        <v>0.12</v>
      </c>
      <c r="F52" s="555">
        <v>19672.78</v>
      </c>
      <c r="G52" s="556"/>
      <c r="H52" s="114"/>
      <c r="I52" s="114"/>
    </row>
    <row r="53" spans="1:9" s="171" customFormat="1" ht="15">
      <c r="A53" s="139" t="s">
        <v>119</v>
      </c>
      <c r="B53" s="477" t="s">
        <v>814</v>
      </c>
      <c r="C53" s="492"/>
      <c r="D53" s="202" t="s">
        <v>391</v>
      </c>
      <c r="E53" s="652">
        <v>4</v>
      </c>
      <c r="F53" s="551">
        <v>11200</v>
      </c>
      <c r="G53" s="552"/>
      <c r="H53" s="114"/>
      <c r="I53" s="114"/>
    </row>
    <row r="54" spans="1:7" ht="15">
      <c r="A54" s="139" t="s">
        <v>139</v>
      </c>
      <c r="B54" s="148" t="s">
        <v>188</v>
      </c>
      <c r="C54" s="149"/>
      <c r="D54" s="118"/>
      <c r="E54" s="118"/>
      <c r="F54" s="550">
        <f>E26*1%</f>
        <v>1200.5756</v>
      </c>
      <c r="G54" s="550"/>
    </row>
    <row r="55" s="67" customFormat="1" ht="15"/>
    <row r="56" spans="1:6" s="67" customFormat="1" ht="13.5" customHeight="1">
      <c r="A56" s="67" t="s">
        <v>55</v>
      </c>
      <c r="C56" s="67" t="s">
        <v>49</v>
      </c>
      <c r="F56" s="67" t="s">
        <v>90</v>
      </c>
    </row>
    <row r="57" s="67" customFormat="1" ht="13.5" customHeight="1">
      <c r="F57" s="126" t="s">
        <v>545</v>
      </c>
    </row>
    <row r="58" s="67" customFormat="1" ht="11.25" customHeight="1">
      <c r="A58" s="67" t="s">
        <v>50</v>
      </c>
    </row>
    <row r="59" spans="3:7" s="67" customFormat="1" ht="15">
      <c r="C59" s="128" t="s">
        <v>51</v>
      </c>
      <c r="E59" s="128"/>
      <c r="F59" s="128"/>
      <c r="G59" s="128"/>
    </row>
    <row r="60" s="67" customFormat="1" ht="15"/>
  </sheetData>
  <sheetProtection/>
  <mergeCells count="37">
    <mergeCell ref="F54:G54"/>
    <mergeCell ref="B49:C49"/>
    <mergeCell ref="B52:C52"/>
    <mergeCell ref="F52:G52"/>
    <mergeCell ref="B50:C50"/>
    <mergeCell ref="B48:C48"/>
    <mergeCell ref="F50:G50"/>
    <mergeCell ref="B53:C53"/>
    <mergeCell ref="F53:G53"/>
    <mergeCell ref="A34:C34"/>
    <mergeCell ref="A33:F33"/>
    <mergeCell ref="B42:C42"/>
    <mergeCell ref="F42:G42"/>
    <mergeCell ref="B43:C43"/>
    <mergeCell ref="B46:C46"/>
    <mergeCell ref="A37:B37"/>
    <mergeCell ref="A38:B39"/>
    <mergeCell ref="F48:G48"/>
    <mergeCell ref="A1:I1"/>
    <mergeCell ref="A2:I2"/>
    <mergeCell ref="A5:I5"/>
    <mergeCell ref="A10:I10"/>
    <mergeCell ref="A3:K3"/>
    <mergeCell ref="A12:I12"/>
    <mergeCell ref="A40:I40"/>
    <mergeCell ref="F43:G43"/>
    <mergeCell ref="A11:I11"/>
    <mergeCell ref="B51:C51"/>
    <mergeCell ref="F51:G51"/>
    <mergeCell ref="F46:G46"/>
    <mergeCell ref="B47:C47"/>
    <mergeCell ref="F45:G45"/>
    <mergeCell ref="B44:C44"/>
    <mergeCell ref="B45:C45"/>
    <mergeCell ref="F47:G47"/>
    <mergeCell ref="F44:G44"/>
    <mergeCell ref="F49:G49"/>
  </mergeCells>
  <printOptions/>
  <pageMargins left="0" right="0" top="0" bottom="0" header="0.31496062992125984" footer="0.31496062992125984"/>
  <pageSetup horizontalDpi="600" verticalDpi="600" orientation="portrait" paperSize="9" scale="9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P51"/>
  <sheetViews>
    <sheetView zoomScalePageLayoutView="0" workbookViewId="0" topLeftCell="A40">
      <selection activeCell="A38" sqref="A38:I38"/>
    </sheetView>
  </sheetViews>
  <sheetFormatPr defaultColWidth="9.140625" defaultRowHeight="15" outlineLevelCol="1"/>
  <cols>
    <col min="1" max="1" width="4.7109375" style="35" customWidth="1"/>
    <col min="2" max="2" width="48.421875" style="35" customWidth="1"/>
    <col min="3" max="3" width="13.140625" style="35" customWidth="1"/>
    <col min="4" max="4" width="13.7109375" style="35" customWidth="1"/>
    <col min="5" max="5" width="12.7109375" style="35" customWidth="1"/>
    <col min="6" max="6" width="11.85156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4.2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5.2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7.2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4.5" customHeight="1"/>
    <row r="7" spans="1:6" s="67" customFormat="1" ht="16.5" customHeight="1">
      <c r="A7" s="67" t="s">
        <v>2</v>
      </c>
      <c r="F7" s="126" t="s">
        <v>84</v>
      </c>
    </row>
    <row r="8" spans="1:10" s="67" customFormat="1" ht="15">
      <c r="A8" s="67" t="s">
        <v>3</v>
      </c>
      <c r="F8" s="291" t="s">
        <v>355</v>
      </c>
      <c r="I8" s="307">
        <v>42.8</v>
      </c>
      <c r="J8" s="307">
        <v>1554.9</v>
      </c>
    </row>
    <row r="9" spans="2:6" s="67" customFormat="1" ht="15.75" customHeight="1">
      <c r="B9" s="67" t="s">
        <v>507</v>
      </c>
      <c r="F9" s="291" t="s">
        <v>513</v>
      </c>
    </row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'[2]Чичерина 16'!$G$36</f>
        <v>-7051.42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'[2]Чичерина 16'!$G$37</f>
        <v>23315.743799999997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16" s="67" customFormat="1" ht="16.5" customHeight="1">
      <c r="A18" s="75" t="s">
        <v>14</v>
      </c>
      <c r="B18" s="41" t="s">
        <v>15</v>
      </c>
      <c r="C18" s="135">
        <f>C19+C20+C21+C22</f>
        <v>9.879999999999999</v>
      </c>
      <c r="D18" s="76">
        <v>200757.5</v>
      </c>
      <c r="E18" s="76">
        <v>199393.22</v>
      </c>
      <c r="F18" s="76">
        <f aca="true" t="shared" si="0" ref="F18:F25">D18</f>
        <v>200757.5</v>
      </c>
      <c r="G18" s="77">
        <f>D18-E18</f>
        <v>1364.2799999999988</v>
      </c>
      <c r="H18" s="145">
        <f>C18</f>
        <v>9.879999999999999</v>
      </c>
      <c r="P18" s="208"/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70305.7641700405</v>
      </c>
      <c r="E19" s="83">
        <f>E18*I19</f>
        <v>69827.99</v>
      </c>
      <c r="F19" s="83">
        <f t="shared" si="0"/>
        <v>70305.7641700405</v>
      </c>
      <c r="G19" s="84">
        <f>D19-E19</f>
        <v>477.77417004048766</v>
      </c>
      <c r="H19" s="145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34340.09868421053</v>
      </c>
      <c r="E20" s="83">
        <f>E18*I20</f>
        <v>34106.735</v>
      </c>
      <c r="F20" s="83">
        <f t="shared" si="0"/>
        <v>34340.09868421053</v>
      </c>
      <c r="G20" s="84">
        <f>D20-E20</f>
        <v>233.36368421052612</v>
      </c>
      <c r="H20" s="145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34340.09868421053</v>
      </c>
      <c r="E21" s="83">
        <f>E18*I21</f>
        <v>34106.735</v>
      </c>
      <c r="F21" s="83">
        <f t="shared" si="0"/>
        <v>34340.09868421053</v>
      </c>
      <c r="G21" s="84">
        <f>D21-E21</f>
        <v>233.36368421052612</v>
      </c>
      <c r="H21" s="145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61771.53846153847</v>
      </c>
      <c r="E22" s="83">
        <f>E18*I22</f>
        <v>61351.76</v>
      </c>
      <c r="F22" s="83">
        <f t="shared" si="0"/>
        <v>61771.53846153847</v>
      </c>
      <c r="G22" s="84">
        <f>D22-E22</f>
        <v>419.7784615384662</v>
      </c>
      <c r="H22" s="145">
        <f>C22</f>
        <v>3.04</v>
      </c>
      <c r="I22" s="67">
        <f>H22/H18</f>
        <v>0.3076923076923077</v>
      </c>
    </row>
    <row r="23" spans="1:9" ht="26.25">
      <c r="A23" s="41" t="s">
        <v>25</v>
      </c>
      <c r="B23" s="192" t="s">
        <v>226</v>
      </c>
      <c r="C23" s="53" t="s">
        <v>437</v>
      </c>
      <c r="D23" s="77">
        <v>49050</v>
      </c>
      <c r="E23" s="77">
        <v>48407.06</v>
      </c>
      <c r="F23" s="77">
        <f t="shared" si="0"/>
        <v>49050</v>
      </c>
      <c r="G23" s="77">
        <f aca="true" t="shared" si="1" ref="G23:G32">D23-E23</f>
        <v>642.9400000000023</v>
      </c>
      <c r="H23" s="35">
        <f>40*130</f>
        <v>5200</v>
      </c>
      <c r="I23" s="358">
        <f>D23/H23</f>
        <v>9.432692307692308</v>
      </c>
    </row>
    <row r="24" spans="1:7" ht="15">
      <c r="A24" s="41" t="s">
        <v>27</v>
      </c>
      <c r="B24" s="140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ht="15">
      <c r="A25" s="41" t="s">
        <v>29</v>
      </c>
      <c r="B25" s="140" t="s">
        <v>161</v>
      </c>
      <c r="C25" s="141">
        <v>12.54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</row>
    <row r="26" spans="1:7" ht="15">
      <c r="A26" s="41" t="s">
        <v>31</v>
      </c>
      <c r="B26" s="140" t="s">
        <v>116</v>
      </c>
      <c r="C26" s="97">
        <v>1.86</v>
      </c>
      <c r="D26" s="77">
        <v>35660.52</v>
      </c>
      <c r="E26" s="77">
        <v>35474.6</v>
      </c>
      <c r="F26" s="87">
        <f>F41</f>
        <v>40167.316</v>
      </c>
      <c r="G26" s="77">
        <f t="shared" si="1"/>
        <v>185.91999999999825</v>
      </c>
    </row>
    <row r="27" spans="1:7" ht="15">
      <c r="A27" s="41" t="s">
        <v>33</v>
      </c>
      <c r="B27" s="134" t="s">
        <v>34</v>
      </c>
      <c r="C27" s="46">
        <v>0</v>
      </c>
      <c r="D27" s="77">
        <v>0</v>
      </c>
      <c r="E27" s="77">
        <v>0</v>
      </c>
      <c r="F27" s="87">
        <v>0</v>
      </c>
      <c r="G27" s="77">
        <f t="shared" si="1"/>
        <v>0</v>
      </c>
    </row>
    <row r="28" spans="1:7" ht="15">
      <c r="A28" s="41" t="s">
        <v>35</v>
      </c>
      <c r="B28" s="134" t="s">
        <v>36</v>
      </c>
      <c r="C28" s="97"/>
      <c r="D28" s="77">
        <f>SUM(D29:D32)</f>
        <v>914126.34</v>
      </c>
      <c r="E28" s="77">
        <f>SUM(E29:E32)</f>
        <v>910487.5700000001</v>
      </c>
      <c r="F28" s="77">
        <f>SUM(F29:F32)</f>
        <v>914126.34</v>
      </c>
      <c r="G28" s="77">
        <f t="shared" si="1"/>
        <v>3638.769999999902</v>
      </c>
    </row>
    <row r="29" spans="1:7" ht="15">
      <c r="A29" s="34" t="s">
        <v>37</v>
      </c>
      <c r="B29" s="34" t="s">
        <v>165</v>
      </c>
      <c r="C29" s="285">
        <v>6</v>
      </c>
      <c r="D29" s="84">
        <v>17126.83</v>
      </c>
      <c r="E29" s="84">
        <v>17307.34</v>
      </c>
      <c r="F29" s="84">
        <f>D29</f>
        <v>17126.83</v>
      </c>
      <c r="G29" s="84">
        <f t="shared" si="1"/>
        <v>-180.5099999999984</v>
      </c>
    </row>
    <row r="30" spans="1:7" ht="15">
      <c r="A30" s="34" t="s">
        <v>39</v>
      </c>
      <c r="B30" s="34" t="s">
        <v>137</v>
      </c>
      <c r="C30" s="285">
        <v>57.08</v>
      </c>
      <c r="D30" s="84">
        <v>219172.29</v>
      </c>
      <c r="E30" s="84">
        <v>220506.8</v>
      </c>
      <c r="F30" s="84">
        <f>D30</f>
        <v>219172.29</v>
      </c>
      <c r="G30" s="84">
        <f t="shared" si="1"/>
        <v>-1334.5099999999802</v>
      </c>
    </row>
    <row r="31" spans="1:7" ht="15">
      <c r="A31" s="34" t="s">
        <v>42</v>
      </c>
      <c r="B31" s="34" t="s">
        <v>40</v>
      </c>
      <c r="C31" s="286">
        <v>0</v>
      </c>
      <c r="D31" s="84">
        <v>0</v>
      </c>
      <c r="E31" s="84">
        <v>0</v>
      </c>
      <c r="F31" s="84">
        <f>D31</f>
        <v>0</v>
      </c>
      <c r="G31" s="84">
        <f t="shared" si="1"/>
        <v>0</v>
      </c>
    </row>
    <row r="32" spans="1:9" ht="15">
      <c r="A32" s="34" t="s">
        <v>41</v>
      </c>
      <c r="B32" s="34" t="s">
        <v>43</v>
      </c>
      <c r="C32" s="285">
        <v>2638.8</v>
      </c>
      <c r="D32" s="84">
        <v>677827.22</v>
      </c>
      <c r="E32" s="84">
        <v>672673.43</v>
      </c>
      <c r="F32" s="84">
        <f>D32</f>
        <v>677827.22</v>
      </c>
      <c r="G32" s="84">
        <f t="shared" si="1"/>
        <v>5153.789999999921</v>
      </c>
      <c r="H32" s="101"/>
      <c r="I32" s="101"/>
    </row>
    <row r="33" spans="1:9" ht="15.75" thickBot="1">
      <c r="A33" s="446" t="s">
        <v>294</v>
      </c>
      <c r="B33" s="447"/>
      <c r="C33" s="447"/>
      <c r="D33" s="448"/>
      <c r="E33" s="448"/>
      <c r="F33" s="448"/>
      <c r="G33" s="170"/>
      <c r="H33" s="101"/>
      <c r="I33" s="101"/>
    </row>
    <row r="34" spans="1:10" s="102" customFormat="1" ht="14.25" thickBot="1">
      <c r="A34" s="455" t="s">
        <v>413</v>
      </c>
      <c r="B34" s="456"/>
      <c r="C34" s="456"/>
      <c r="D34" s="65">
        <v>273580.87</v>
      </c>
      <c r="E34" s="66"/>
      <c r="F34" s="66"/>
      <c r="G34" s="66"/>
      <c r="H34" s="62"/>
      <c r="I34" s="62"/>
      <c r="J34" s="101"/>
    </row>
    <row r="35" spans="1:9" s="67" customFormat="1" ht="8.25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414</v>
      </c>
      <c r="B36" s="64"/>
      <c r="C36" s="64"/>
      <c r="D36" s="69"/>
      <c r="E36" s="70"/>
      <c r="F36" s="70"/>
      <c r="G36" s="144">
        <f>G14+E27-F27</f>
        <v>-7051.42</v>
      </c>
      <c r="H36" s="62"/>
      <c r="I36" s="62"/>
    </row>
    <row r="37" spans="1:9" s="67" customFormat="1" ht="15.75" thickBot="1">
      <c r="A37" s="63" t="s">
        <v>415</v>
      </c>
      <c r="B37" s="64"/>
      <c r="C37" s="64"/>
      <c r="D37" s="69"/>
      <c r="E37" s="70"/>
      <c r="F37" s="70"/>
      <c r="G37" s="144">
        <f>G15+E26-F26</f>
        <v>18623.027799999996</v>
      </c>
      <c r="H37" s="62"/>
      <c r="I37" s="62"/>
    </row>
    <row r="38" spans="1:9" s="67" customFormat="1" ht="31.5" customHeight="1">
      <c r="A38" s="537" t="s">
        <v>44</v>
      </c>
      <c r="B38" s="537"/>
      <c r="C38" s="537"/>
      <c r="D38" s="537"/>
      <c r="E38" s="537"/>
      <c r="F38" s="537"/>
      <c r="G38" s="537"/>
      <c r="H38" s="537"/>
      <c r="I38" s="537"/>
    </row>
    <row r="40" spans="1:9" ht="28.5">
      <c r="A40" s="105" t="s">
        <v>11</v>
      </c>
      <c r="B40" s="471" t="s">
        <v>45</v>
      </c>
      <c r="C40" s="484"/>
      <c r="D40" s="105" t="s">
        <v>163</v>
      </c>
      <c r="E40" s="105" t="s">
        <v>162</v>
      </c>
      <c r="F40" s="471" t="s">
        <v>46</v>
      </c>
      <c r="G40" s="484"/>
      <c r="H40" s="171"/>
      <c r="I40" s="171"/>
    </row>
    <row r="41" spans="1:9" s="171" customFormat="1" ht="28.5" customHeight="1">
      <c r="A41" s="109" t="s">
        <v>47</v>
      </c>
      <c r="B41" s="473" t="s">
        <v>111</v>
      </c>
      <c r="C41" s="491"/>
      <c r="D41" s="110"/>
      <c r="E41" s="110"/>
      <c r="F41" s="496">
        <f>SUM(F42:G45)</f>
        <v>40167.316</v>
      </c>
      <c r="G41" s="483"/>
      <c r="H41" s="114"/>
      <c r="I41" s="114"/>
    </row>
    <row r="42" spans="1:9" s="171" customFormat="1" ht="15">
      <c r="A42" s="139" t="s">
        <v>16</v>
      </c>
      <c r="B42" s="412" t="s">
        <v>592</v>
      </c>
      <c r="C42" s="413"/>
      <c r="D42" s="403" t="s">
        <v>593</v>
      </c>
      <c r="E42" s="410">
        <v>0.03</v>
      </c>
      <c r="F42" s="561">
        <v>16612.57</v>
      </c>
      <c r="G42" s="561"/>
      <c r="H42" s="114"/>
      <c r="I42" s="114"/>
    </row>
    <row r="43" spans="1:9" s="171" customFormat="1" ht="15">
      <c r="A43" s="139" t="s">
        <v>18</v>
      </c>
      <c r="B43" s="148" t="s">
        <v>814</v>
      </c>
      <c r="C43" s="149"/>
      <c r="D43" s="118" t="s">
        <v>391</v>
      </c>
      <c r="E43" s="209">
        <v>4</v>
      </c>
      <c r="F43" s="550">
        <v>11200</v>
      </c>
      <c r="G43" s="550"/>
      <c r="H43" s="114"/>
      <c r="I43" s="114"/>
    </row>
    <row r="44" spans="1:9" s="171" customFormat="1" ht="15">
      <c r="A44" s="139" t="s">
        <v>20</v>
      </c>
      <c r="B44" s="148" t="s">
        <v>404</v>
      </c>
      <c r="C44" s="149"/>
      <c r="D44" s="118" t="s">
        <v>391</v>
      </c>
      <c r="E44" s="209">
        <v>6</v>
      </c>
      <c r="F44" s="550">
        <v>12000</v>
      </c>
      <c r="G44" s="550"/>
      <c r="H44" s="114"/>
      <c r="I44" s="114"/>
    </row>
    <row r="45" spans="1:9" s="114" customFormat="1" ht="13.5" customHeight="1">
      <c r="A45" s="139" t="s">
        <v>22</v>
      </c>
      <c r="B45" s="148" t="s">
        <v>188</v>
      </c>
      <c r="C45" s="149"/>
      <c r="D45" s="118"/>
      <c r="E45" s="118"/>
      <c r="F45" s="550">
        <f>E26*1%</f>
        <v>354.746</v>
      </c>
      <c r="G45" s="550"/>
      <c r="H45" s="35"/>
      <c r="I45" s="35"/>
    </row>
    <row r="46" spans="1:9" ht="13.5" customHeight="1">
      <c r="A46" s="67"/>
      <c r="B46" s="67"/>
      <c r="C46" s="67"/>
      <c r="D46" s="67"/>
      <c r="E46" s="67"/>
      <c r="F46" s="67"/>
      <c r="G46" s="67"/>
      <c r="H46" s="67"/>
      <c r="I46" s="67"/>
    </row>
    <row r="47" spans="1:9" ht="13.5" customHeight="1">
      <c r="A47" s="67" t="s">
        <v>55</v>
      </c>
      <c r="B47" s="67"/>
      <c r="C47" s="67" t="s">
        <v>49</v>
      </c>
      <c r="D47" s="67"/>
      <c r="E47" s="67"/>
      <c r="F47" s="67" t="s">
        <v>90</v>
      </c>
      <c r="G47" s="67"/>
      <c r="H47" s="67"/>
      <c r="I47" s="67"/>
    </row>
    <row r="48" spans="1:9" ht="13.5" customHeight="1">
      <c r="A48" s="67"/>
      <c r="B48" s="67"/>
      <c r="C48" s="67"/>
      <c r="D48" s="67"/>
      <c r="E48" s="67"/>
      <c r="F48" s="126" t="s">
        <v>545</v>
      </c>
      <c r="G48" s="67"/>
      <c r="H48" s="67"/>
      <c r="I48" s="67"/>
    </row>
    <row r="49" spans="1:9" ht="13.5" customHeight="1">
      <c r="A49" s="67" t="s">
        <v>50</v>
      </c>
      <c r="B49" s="67"/>
      <c r="C49" s="67"/>
      <c r="D49" s="67"/>
      <c r="E49" s="67"/>
      <c r="F49" s="67"/>
      <c r="G49" s="67"/>
      <c r="H49" s="67"/>
      <c r="I49" s="67"/>
    </row>
    <row r="50" spans="1:9" ht="13.5" customHeight="1">
      <c r="A50" s="67"/>
      <c r="B50" s="67"/>
      <c r="C50" s="128" t="s">
        <v>51</v>
      </c>
      <c r="D50" s="67"/>
      <c r="E50" s="128"/>
      <c r="F50" s="128"/>
      <c r="G50" s="128"/>
      <c r="H50" s="67"/>
      <c r="I50" s="67"/>
    </row>
    <row r="51" spans="2:5" ht="6.75" customHeight="1">
      <c r="B51" s="154"/>
      <c r="C51" s="154"/>
      <c r="D51" s="154"/>
      <c r="E51" s="154"/>
    </row>
    <row r="52" s="67" customFormat="1" ht="15"/>
  </sheetData>
  <sheetProtection/>
  <mergeCells count="18">
    <mergeCell ref="F43:G43"/>
    <mergeCell ref="F45:G45"/>
    <mergeCell ref="A12:I12"/>
    <mergeCell ref="F41:G41"/>
    <mergeCell ref="A34:C34"/>
    <mergeCell ref="A38:I38"/>
    <mergeCell ref="B40:C40"/>
    <mergeCell ref="F40:G40"/>
    <mergeCell ref="B41:C41"/>
    <mergeCell ref="F42:G42"/>
    <mergeCell ref="F44:G44"/>
    <mergeCell ref="A1:I1"/>
    <mergeCell ref="A2:I2"/>
    <mergeCell ref="A5:I5"/>
    <mergeCell ref="A10:I10"/>
    <mergeCell ref="A3:K3"/>
    <mergeCell ref="A33:F33"/>
    <mergeCell ref="A11:I11"/>
  </mergeCells>
  <printOptions/>
  <pageMargins left="0" right="0" top="0" bottom="0" header="0.31496062992125984" footer="0.31496062992125984"/>
  <pageSetup horizontalDpi="600" verticalDpi="600" orientation="portrait" paperSize="9" scale="9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P53"/>
  <sheetViews>
    <sheetView zoomScalePageLayoutView="0" workbookViewId="0" topLeftCell="A35">
      <selection activeCell="F47" sqref="F47:G47"/>
    </sheetView>
  </sheetViews>
  <sheetFormatPr defaultColWidth="9.140625" defaultRowHeight="15" outlineLevelCol="1"/>
  <cols>
    <col min="1" max="1" width="4.7109375" style="35" customWidth="1"/>
    <col min="2" max="2" width="48.421875" style="35" customWidth="1"/>
    <col min="3" max="3" width="13.140625" style="35" customWidth="1"/>
    <col min="4" max="4" width="13.7109375" style="35" customWidth="1"/>
    <col min="5" max="5" width="12.7109375" style="35" customWidth="1"/>
    <col min="6" max="6" width="11.85156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1.140625" style="35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4.2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5.2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7.2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4.5" customHeight="1"/>
    <row r="7" spans="1:6" s="67" customFormat="1" ht="16.5" customHeight="1">
      <c r="A7" s="67" t="s">
        <v>2</v>
      </c>
      <c r="F7" s="126" t="s">
        <v>228</v>
      </c>
    </row>
    <row r="8" spans="1:11" s="67" customFormat="1" ht="15">
      <c r="A8" s="67" t="s">
        <v>3</v>
      </c>
      <c r="F8" s="291" t="s">
        <v>229</v>
      </c>
      <c r="I8" s="199">
        <f>9.6+220.3+129.7</f>
        <v>359.6</v>
      </c>
      <c r="J8" s="199">
        <f>1653.6</f>
        <v>1653.6</v>
      </c>
      <c r="K8" s="199">
        <f>I8+J8</f>
        <v>2013.1999999999998</v>
      </c>
    </row>
    <row r="9" spans="2:6" s="67" customFormat="1" ht="15" customHeight="1">
      <c r="B9" s="67" t="s">
        <v>507</v>
      </c>
      <c r="F9" s="291" t="s">
        <v>514</v>
      </c>
    </row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336</v>
      </c>
      <c r="B14" s="64"/>
      <c r="C14" s="64"/>
      <c r="D14" s="69"/>
      <c r="E14" s="70"/>
      <c r="F14" s="70"/>
      <c r="G14" s="144">
        <f>'[2]Чичерина 19'!$G$34</f>
        <v>172760.02909999999</v>
      </c>
      <c r="H14" s="62"/>
      <c r="I14" s="62"/>
    </row>
    <row r="15" s="67" customFormat="1" ht="6.75" customHeight="1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</row>
    <row r="17" spans="1:16" s="67" customFormat="1" ht="16.5" customHeight="1">
      <c r="A17" s="75" t="s">
        <v>14</v>
      </c>
      <c r="B17" s="41" t="s">
        <v>15</v>
      </c>
      <c r="C17" s="135">
        <f>C18+C19+C20+C21</f>
        <v>9.879999999999999</v>
      </c>
      <c r="D17" s="76">
        <v>244749.21</v>
      </c>
      <c r="E17" s="76">
        <v>170404.92</v>
      </c>
      <c r="F17" s="76">
        <f aca="true" t="shared" si="0" ref="F17:F24">D17</f>
        <v>244749.21</v>
      </c>
      <c r="G17" s="77">
        <f>D17-E17</f>
        <v>74344.28999999998</v>
      </c>
      <c r="H17" s="145">
        <f>C17</f>
        <v>9.879999999999999</v>
      </c>
      <c r="P17" s="208"/>
    </row>
    <row r="18" spans="1:9" s="67" customFormat="1" ht="15">
      <c r="A18" s="81" t="s">
        <v>16</v>
      </c>
      <c r="B18" s="34" t="s">
        <v>17</v>
      </c>
      <c r="C18" s="99">
        <v>3.46</v>
      </c>
      <c r="D18" s="83">
        <f>D17*I18</f>
        <v>85711.76787449393</v>
      </c>
      <c r="E18" s="83">
        <f>E17*I18</f>
        <v>59676.216923076936</v>
      </c>
      <c r="F18" s="83">
        <f t="shared" si="0"/>
        <v>85711.76787449393</v>
      </c>
      <c r="G18" s="84">
        <f>D18-E18</f>
        <v>26035.550951416997</v>
      </c>
      <c r="H18" s="145">
        <f>C18</f>
        <v>3.46</v>
      </c>
      <c r="I18" s="67">
        <f>H18/H17</f>
        <v>0.3502024291497976</v>
      </c>
    </row>
    <row r="19" spans="1:9" s="67" customFormat="1" ht="15">
      <c r="A19" s="81" t="s">
        <v>18</v>
      </c>
      <c r="B19" s="34" t="s">
        <v>19</v>
      </c>
      <c r="C19" s="99">
        <v>1.69</v>
      </c>
      <c r="D19" s="83">
        <f>D17*I19</f>
        <v>41864.99644736842</v>
      </c>
      <c r="E19" s="83">
        <f>E17*I19</f>
        <v>29148.210000000003</v>
      </c>
      <c r="F19" s="83">
        <f t="shared" si="0"/>
        <v>41864.99644736842</v>
      </c>
      <c r="G19" s="84">
        <f>D19-E19</f>
        <v>12716.78644736842</v>
      </c>
      <c r="H19" s="145">
        <f>C19</f>
        <v>1.69</v>
      </c>
      <c r="I19" s="67">
        <f>H19/H17</f>
        <v>0.17105263157894737</v>
      </c>
    </row>
    <row r="20" spans="1:9" s="67" customFormat="1" ht="15">
      <c r="A20" s="81" t="s">
        <v>20</v>
      </c>
      <c r="B20" s="34" t="s">
        <v>21</v>
      </c>
      <c r="C20" s="99">
        <v>1.69</v>
      </c>
      <c r="D20" s="83">
        <f>D17*I20</f>
        <v>41864.99644736842</v>
      </c>
      <c r="E20" s="83">
        <f>E17*I20</f>
        <v>29148.210000000003</v>
      </c>
      <c r="F20" s="83">
        <f t="shared" si="0"/>
        <v>41864.99644736842</v>
      </c>
      <c r="G20" s="84">
        <f>D20-E20</f>
        <v>12716.78644736842</v>
      </c>
      <c r="H20" s="145">
        <f>C20</f>
        <v>1.69</v>
      </c>
      <c r="I20" s="67">
        <f>H20/H17</f>
        <v>0.17105263157894737</v>
      </c>
    </row>
    <row r="21" spans="1:9" s="67" customFormat="1" ht="15">
      <c r="A21" s="81" t="s">
        <v>22</v>
      </c>
      <c r="B21" s="34" t="s">
        <v>23</v>
      </c>
      <c r="C21" s="99">
        <v>3.04</v>
      </c>
      <c r="D21" s="83">
        <f>D17*I21</f>
        <v>75307.44923076923</v>
      </c>
      <c r="E21" s="83">
        <f>E17*I21</f>
        <v>52432.283076923086</v>
      </c>
      <c r="F21" s="83">
        <f t="shared" si="0"/>
        <v>75307.44923076923</v>
      </c>
      <c r="G21" s="84">
        <f>D21-E21</f>
        <v>22875.16615384614</v>
      </c>
      <c r="H21" s="145">
        <f>C21</f>
        <v>3.04</v>
      </c>
      <c r="I21" s="67">
        <f>H21/H17</f>
        <v>0.3076923076923077</v>
      </c>
    </row>
    <row r="22" spans="1:9" ht="15">
      <c r="A22" s="41" t="s">
        <v>25</v>
      </c>
      <c r="B22" s="140" t="s">
        <v>226</v>
      </c>
      <c r="C22" s="46">
        <v>110</v>
      </c>
      <c r="D22" s="77">
        <v>43996.6</v>
      </c>
      <c r="E22" s="77">
        <v>38382.68</v>
      </c>
      <c r="F22" s="77">
        <f t="shared" si="0"/>
        <v>43996.6</v>
      </c>
      <c r="G22" s="77">
        <f aca="true" t="shared" si="1" ref="G22:G31">D22-E22</f>
        <v>5613.919999999998</v>
      </c>
      <c r="H22" s="35">
        <f>27*110</f>
        <v>2970</v>
      </c>
      <c r="I22" s="358">
        <f>D22/H22</f>
        <v>14.813670033670034</v>
      </c>
    </row>
    <row r="23" spans="1:7" ht="15">
      <c r="A23" s="41" t="s">
        <v>27</v>
      </c>
      <c r="B23" s="140" t="s">
        <v>28</v>
      </c>
      <c r="C23" s="97">
        <v>0</v>
      </c>
      <c r="D23" s="77">
        <v>0</v>
      </c>
      <c r="E23" s="77">
        <v>0</v>
      </c>
      <c r="F23" s="77">
        <f t="shared" si="0"/>
        <v>0</v>
      </c>
      <c r="G23" s="77">
        <f t="shared" si="1"/>
        <v>0</v>
      </c>
    </row>
    <row r="24" spans="1:7" ht="15">
      <c r="A24" s="41" t="s">
        <v>29</v>
      </c>
      <c r="B24" s="140" t="s">
        <v>161</v>
      </c>
      <c r="C24" s="141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ht="15">
      <c r="A25" s="41" t="s">
        <v>31</v>
      </c>
      <c r="B25" s="140" t="s">
        <v>116</v>
      </c>
      <c r="C25" s="97">
        <v>5</v>
      </c>
      <c r="D25" s="77">
        <v>120312</v>
      </c>
      <c r="E25" s="77">
        <v>84164.64</v>
      </c>
      <c r="F25" s="87">
        <f>F41</f>
        <v>262452.0664</v>
      </c>
      <c r="G25" s="77">
        <f t="shared" si="1"/>
        <v>36147.36</v>
      </c>
    </row>
    <row r="26" spans="1:7" ht="15">
      <c r="A26" s="41" t="s">
        <v>33</v>
      </c>
      <c r="B26" s="134" t="s">
        <v>34</v>
      </c>
      <c r="C26" s="46">
        <v>0</v>
      </c>
      <c r="D26" s="77">
        <v>0</v>
      </c>
      <c r="E26" s="77">
        <v>0</v>
      </c>
      <c r="F26" s="87">
        <v>0</v>
      </c>
      <c r="G26" s="77">
        <f t="shared" si="1"/>
        <v>0</v>
      </c>
    </row>
    <row r="27" spans="1:7" ht="15">
      <c r="A27" s="41" t="s">
        <v>35</v>
      </c>
      <c r="B27" s="134" t="s">
        <v>36</v>
      </c>
      <c r="C27" s="97"/>
      <c r="D27" s="77">
        <f>SUM(D28:D31)</f>
        <v>146370.29</v>
      </c>
      <c r="E27" s="77">
        <f>SUM(E28:E31)</f>
        <v>186281.47999999998</v>
      </c>
      <c r="F27" s="77">
        <f>SUM(F28:F31)</f>
        <v>146370.29</v>
      </c>
      <c r="G27" s="77">
        <f t="shared" si="1"/>
        <v>-39911.18999999997</v>
      </c>
    </row>
    <row r="28" spans="1:7" ht="15">
      <c r="A28" s="34" t="s">
        <v>37</v>
      </c>
      <c r="B28" s="34" t="s">
        <v>165</v>
      </c>
      <c r="C28" s="285">
        <v>6</v>
      </c>
      <c r="D28" s="84">
        <v>25633.8</v>
      </c>
      <c r="E28" s="84">
        <v>17363.74</v>
      </c>
      <c r="F28" s="84">
        <f>D28</f>
        <v>25633.8</v>
      </c>
      <c r="G28" s="84">
        <f t="shared" si="1"/>
        <v>8270.059999999998</v>
      </c>
    </row>
    <row r="29" spans="1:7" ht="15">
      <c r="A29" s="34" t="s">
        <v>39</v>
      </c>
      <c r="B29" s="34" t="s">
        <v>137</v>
      </c>
      <c r="C29" s="285">
        <v>57.08</v>
      </c>
      <c r="D29" s="84">
        <v>120736.49</v>
      </c>
      <c r="E29" s="84">
        <v>168917.74</v>
      </c>
      <c r="F29" s="84">
        <f>D29</f>
        <v>120736.49</v>
      </c>
      <c r="G29" s="84">
        <f t="shared" si="1"/>
        <v>-48181.249999999985</v>
      </c>
    </row>
    <row r="30" spans="1:7" ht="15">
      <c r="A30" s="34" t="s">
        <v>42</v>
      </c>
      <c r="B30" s="34" t="s">
        <v>40</v>
      </c>
      <c r="C30" s="286">
        <v>0</v>
      </c>
      <c r="D30" s="84">
        <v>0</v>
      </c>
      <c r="E30" s="84">
        <v>0</v>
      </c>
      <c r="F30" s="84">
        <f>D30</f>
        <v>0</v>
      </c>
      <c r="G30" s="84">
        <f t="shared" si="1"/>
        <v>0</v>
      </c>
    </row>
    <row r="31" spans="1:9" ht="15.75" thickBot="1">
      <c r="A31" s="34" t="s">
        <v>41</v>
      </c>
      <c r="B31" s="34" t="s">
        <v>43</v>
      </c>
      <c r="C31" s="285">
        <v>0</v>
      </c>
      <c r="D31" s="210">
        <v>0</v>
      </c>
      <c r="E31" s="210">
        <v>0</v>
      </c>
      <c r="F31" s="84">
        <f>D31</f>
        <v>0</v>
      </c>
      <c r="G31" s="84">
        <f t="shared" si="1"/>
        <v>0</v>
      </c>
      <c r="H31" s="101"/>
      <c r="I31" s="101"/>
    </row>
    <row r="32" spans="1:10" s="102" customFormat="1" ht="14.25" thickBot="1">
      <c r="A32" s="455" t="s">
        <v>413</v>
      </c>
      <c r="B32" s="456"/>
      <c r="C32" s="456"/>
      <c r="D32" s="65">
        <v>1234046.33</v>
      </c>
      <c r="E32" s="66"/>
      <c r="F32" s="66"/>
      <c r="G32" s="66"/>
      <c r="H32" s="62"/>
      <c r="I32" s="62"/>
      <c r="J32" s="101"/>
    </row>
    <row r="33" spans="1:9" s="67" customFormat="1" ht="8.25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415</v>
      </c>
      <c r="B34" s="64"/>
      <c r="C34" s="64"/>
      <c r="D34" s="69"/>
      <c r="E34" s="70"/>
      <c r="F34" s="70"/>
      <c r="G34" s="144">
        <f>G14+E25-F25</f>
        <v>-5527.3973000000115</v>
      </c>
      <c r="H34" s="62"/>
      <c r="I34" s="62"/>
    </row>
    <row r="35" spans="1:9" s="67" customFormat="1" ht="15">
      <c r="A35" s="516" t="s">
        <v>144</v>
      </c>
      <c r="B35" s="516"/>
      <c r="C35" s="68"/>
      <c r="D35" s="40"/>
      <c r="E35" s="66"/>
      <c r="F35" s="66"/>
      <c r="G35" s="40"/>
      <c r="H35" s="62"/>
      <c r="I35" s="62"/>
    </row>
    <row r="36" spans="1:9" s="67" customFormat="1" ht="15">
      <c r="A36" s="517" t="s">
        <v>145</v>
      </c>
      <c r="B36" s="518"/>
      <c r="C36" s="311" t="s">
        <v>146</v>
      </c>
      <c r="D36" s="311" t="s">
        <v>147</v>
      </c>
      <c r="E36" s="312" t="s">
        <v>148</v>
      </c>
      <c r="F36" s="313" t="s">
        <v>149</v>
      </c>
      <c r="G36" s="312" t="s">
        <v>150</v>
      </c>
      <c r="H36" s="62"/>
      <c r="I36" s="62"/>
    </row>
    <row r="37" spans="1:9" s="67" customFormat="1" ht="15">
      <c r="A37" s="519"/>
      <c r="B37" s="520"/>
      <c r="C37" s="294">
        <v>129.7</v>
      </c>
      <c r="D37" s="314">
        <f>E37/C37/12</f>
        <v>19.60424055512722</v>
      </c>
      <c r="E37" s="309">
        <v>30512.04</v>
      </c>
      <c r="F37" s="315">
        <v>0</v>
      </c>
      <c r="G37" s="314">
        <f>E37-F37</f>
        <v>30512.04</v>
      </c>
      <c r="H37" s="62"/>
      <c r="I37" s="62"/>
    </row>
    <row r="38" spans="1:9" s="67" customFormat="1" ht="31.5" customHeight="1">
      <c r="A38" s="537" t="s">
        <v>44</v>
      </c>
      <c r="B38" s="537"/>
      <c r="C38" s="537"/>
      <c r="D38" s="537"/>
      <c r="E38" s="537"/>
      <c r="F38" s="537"/>
      <c r="G38" s="537"/>
      <c r="H38" s="537"/>
      <c r="I38" s="537"/>
    </row>
    <row r="40" spans="1:9" ht="28.5">
      <c r="A40" s="105" t="s">
        <v>11</v>
      </c>
      <c r="B40" s="471" t="s">
        <v>45</v>
      </c>
      <c r="C40" s="484"/>
      <c r="D40" s="105" t="s">
        <v>163</v>
      </c>
      <c r="E40" s="105" t="s">
        <v>162</v>
      </c>
      <c r="F40" s="471" t="s">
        <v>46</v>
      </c>
      <c r="G40" s="484"/>
      <c r="H40" s="171"/>
      <c r="I40" s="171"/>
    </row>
    <row r="41" spans="1:9" s="171" customFormat="1" ht="28.5" customHeight="1">
      <c r="A41" s="109" t="s">
        <v>47</v>
      </c>
      <c r="B41" s="473" t="s">
        <v>111</v>
      </c>
      <c r="C41" s="491"/>
      <c r="D41" s="110"/>
      <c r="E41" s="110"/>
      <c r="F41" s="496">
        <f>SUM(F42:L47)</f>
        <v>262452.0664</v>
      </c>
      <c r="G41" s="483"/>
      <c r="H41" s="114"/>
      <c r="I41" s="114"/>
    </row>
    <row r="42" spans="1:9" s="171" customFormat="1" ht="26.25">
      <c r="A42" s="139" t="s">
        <v>16</v>
      </c>
      <c r="B42" s="440" t="s">
        <v>326</v>
      </c>
      <c r="C42" s="562"/>
      <c r="D42" s="403"/>
      <c r="E42" s="405" t="s">
        <v>221</v>
      </c>
      <c r="F42" s="561">
        <v>920</v>
      </c>
      <c r="G42" s="561"/>
      <c r="H42" s="114"/>
      <c r="I42" s="114"/>
    </row>
    <row r="43" spans="1:9" s="171" customFormat="1" ht="15">
      <c r="A43" s="139" t="s">
        <v>18</v>
      </c>
      <c r="B43" s="462" t="s">
        <v>541</v>
      </c>
      <c r="C43" s="498"/>
      <c r="D43" s="403" t="s">
        <v>542</v>
      </c>
      <c r="E43" s="408">
        <v>0.0154</v>
      </c>
      <c r="F43" s="561">
        <v>151690.42</v>
      </c>
      <c r="G43" s="561"/>
      <c r="H43" s="114"/>
      <c r="I43" s="114"/>
    </row>
    <row r="44" spans="1:9" s="171" customFormat="1" ht="15">
      <c r="A44" s="139" t="s">
        <v>20</v>
      </c>
      <c r="B44" s="462" t="s">
        <v>168</v>
      </c>
      <c r="C44" s="498"/>
      <c r="D44" s="403"/>
      <c r="E44" s="405"/>
      <c r="F44" s="482">
        <v>43000</v>
      </c>
      <c r="G44" s="482"/>
      <c r="H44" s="114"/>
      <c r="I44" s="114"/>
    </row>
    <row r="45" spans="1:9" s="171" customFormat="1" ht="15">
      <c r="A45" s="139" t="s">
        <v>22</v>
      </c>
      <c r="B45" s="462" t="s">
        <v>404</v>
      </c>
      <c r="C45" s="498"/>
      <c r="D45" s="403"/>
      <c r="E45" s="405"/>
      <c r="F45" s="482">
        <v>52000</v>
      </c>
      <c r="G45" s="482"/>
      <c r="H45" s="114"/>
      <c r="I45" s="114"/>
    </row>
    <row r="46" spans="1:9" s="171" customFormat="1" ht="15">
      <c r="A46" s="139" t="s">
        <v>24</v>
      </c>
      <c r="B46" s="449" t="s">
        <v>814</v>
      </c>
      <c r="C46" s="641"/>
      <c r="D46" s="118" t="s">
        <v>391</v>
      </c>
      <c r="E46" s="152">
        <v>5</v>
      </c>
      <c r="F46" s="490">
        <v>14000</v>
      </c>
      <c r="G46" s="490"/>
      <c r="H46" s="114"/>
      <c r="I46" s="114"/>
    </row>
    <row r="47" spans="1:9" s="114" customFormat="1" ht="13.5" customHeight="1">
      <c r="A47" s="139" t="s">
        <v>103</v>
      </c>
      <c r="B47" s="148" t="s">
        <v>188</v>
      </c>
      <c r="C47" s="149"/>
      <c r="D47" s="118"/>
      <c r="E47" s="118"/>
      <c r="F47" s="550">
        <f>E25*1%</f>
        <v>841.6464</v>
      </c>
      <c r="G47" s="550"/>
      <c r="H47" s="35"/>
      <c r="I47" s="35"/>
    </row>
    <row r="48" spans="1:9" ht="13.5" customHeight="1">
      <c r="A48" s="67"/>
      <c r="B48" s="67"/>
      <c r="C48" s="67"/>
      <c r="D48" s="67"/>
      <c r="E48" s="67"/>
      <c r="F48" s="67"/>
      <c r="G48" s="67"/>
      <c r="H48" s="67"/>
      <c r="I48" s="67"/>
    </row>
    <row r="49" spans="1:9" ht="13.5" customHeight="1">
      <c r="A49" s="67" t="s">
        <v>55</v>
      </c>
      <c r="B49" s="67"/>
      <c r="C49" s="67" t="s">
        <v>49</v>
      </c>
      <c r="D49" s="67"/>
      <c r="E49" s="67"/>
      <c r="F49" s="67" t="s">
        <v>90</v>
      </c>
      <c r="G49" s="67"/>
      <c r="H49" s="67"/>
      <c r="I49" s="67"/>
    </row>
    <row r="50" spans="1:9" ht="13.5" customHeight="1">
      <c r="A50" s="67"/>
      <c r="B50" s="67"/>
      <c r="C50" s="67"/>
      <c r="D50" s="67"/>
      <c r="E50" s="67"/>
      <c r="F50" s="126" t="s">
        <v>343</v>
      </c>
      <c r="G50" s="67"/>
      <c r="H50" s="67"/>
      <c r="I50" s="67"/>
    </row>
    <row r="51" spans="1:9" ht="13.5" customHeight="1">
      <c r="A51" s="67" t="s">
        <v>50</v>
      </c>
      <c r="B51" s="67"/>
      <c r="C51" s="67"/>
      <c r="D51" s="67"/>
      <c r="E51" s="67"/>
      <c r="F51" s="67"/>
      <c r="G51" s="67"/>
      <c r="H51" s="67"/>
      <c r="I51" s="67"/>
    </row>
    <row r="52" spans="1:9" ht="13.5" customHeight="1">
      <c r="A52" s="67"/>
      <c r="B52" s="67"/>
      <c r="C52" s="128" t="s">
        <v>51</v>
      </c>
      <c r="D52" s="67"/>
      <c r="E52" s="128"/>
      <c r="F52" s="128"/>
      <c r="G52" s="128"/>
      <c r="H52" s="67"/>
      <c r="I52" s="67"/>
    </row>
    <row r="53" spans="2:5" ht="6.75" customHeight="1">
      <c r="B53" s="154"/>
      <c r="C53" s="154"/>
      <c r="D53" s="154"/>
      <c r="E53" s="154"/>
    </row>
    <row r="54" s="67" customFormat="1" ht="15"/>
  </sheetData>
  <sheetProtection/>
  <mergeCells count="26">
    <mergeCell ref="B45:C45"/>
    <mergeCell ref="F45:G45"/>
    <mergeCell ref="A11:I11"/>
    <mergeCell ref="A12:I12"/>
    <mergeCell ref="F47:G47"/>
    <mergeCell ref="B46:C46"/>
    <mergeCell ref="F46:G46"/>
    <mergeCell ref="B40:C40"/>
    <mergeCell ref="B41:C41"/>
    <mergeCell ref="F42:G42"/>
    <mergeCell ref="F41:G41"/>
    <mergeCell ref="F43:G43"/>
    <mergeCell ref="A32:C32"/>
    <mergeCell ref="A38:I38"/>
    <mergeCell ref="B44:C44"/>
    <mergeCell ref="F44:G44"/>
    <mergeCell ref="A35:B35"/>
    <mergeCell ref="A36:B37"/>
    <mergeCell ref="B43:C43"/>
    <mergeCell ref="B42:C42"/>
    <mergeCell ref="A1:I1"/>
    <mergeCell ref="A2:I2"/>
    <mergeCell ref="A3:K3"/>
    <mergeCell ref="A5:I5"/>
    <mergeCell ref="A10:I10"/>
    <mergeCell ref="F40:G40"/>
  </mergeCells>
  <printOptions/>
  <pageMargins left="0" right="0" top="0" bottom="0" header="0.31496062992125984" footer="0.31496062992125984"/>
  <pageSetup horizontalDpi="600" verticalDpi="600" orientation="portrait" paperSize="9" scale="9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K55"/>
  <sheetViews>
    <sheetView zoomScalePageLayoutView="0" workbookViewId="0" topLeftCell="A35">
      <selection activeCell="G38" sqref="G38"/>
    </sheetView>
  </sheetViews>
  <sheetFormatPr defaultColWidth="9.140625" defaultRowHeight="15" outlineLevelCol="1"/>
  <cols>
    <col min="1" max="1" width="4.7109375" style="35" customWidth="1"/>
    <col min="2" max="2" width="48.140625" style="35" customWidth="1"/>
    <col min="3" max="3" width="13.00390625" style="35" customWidth="1"/>
    <col min="4" max="4" width="13.140625" style="35" customWidth="1"/>
    <col min="5" max="5" width="12.7109375" style="35" customWidth="1"/>
    <col min="6" max="6" width="13.140625" style="35" customWidth="1"/>
    <col min="7" max="7" width="13.85156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5.7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6.7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7.2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6" customHeight="1"/>
    <row r="7" spans="1:9" s="67" customFormat="1" ht="16.5" customHeight="1">
      <c r="A7" s="67" t="s">
        <v>2</v>
      </c>
      <c r="F7" s="126" t="s">
        <v>85</v>
      </c>
      <c r="I7" s="199">
        <v>109.9</v>
      </c>
    </row>
    <row r="8" spans="1:11" s="67" customFormat="1" ht="15">
      <c r="A8" s="67" t="s">
        <v>3</v>
      </c>
      <c r="F8" s="291" t="s">
        <v>356</v>
      </c>
      <c r="I8" s="199">
        <v>672.7</v>
      </c>
      <c r="J8" s="199">
        <f>2067.9-109.9</f>
        <v>1958</v>
      </c>
      <c r="K8" s="199">
        <f>I8+J8+I7</f>
        <v>2740.6</v>
      </c>
    </row>
    <row r="9" spans="2:6" s="67" customFormat="1" ht="15.75" customHeight="1">
      <c r="B9" s="67" t="s">
        <v>507</v>
      </c>
      <c r="F9" s="291" t="s">
        <v>515</v>
      </c>
    </row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'[2]Чичерина 22'!$G$36</f>
        <v>13862.08</v>
      </c>
      <c r="H14" s="62"/>
      <c r="I14" s="62"/>
    </row>
    <row r="15" spans="1:9" s="67" customFormat="1" ht="15.75" thickBot="1">
      <c r="A15" s="63" t="s">
        <v>438</v>
      </c>
      <c r="B15" s="64"/>
      <c r="C15" s="64"/>
      <c r="D15" s="69"/>
      <c r="E15" s="70"/>
      <c r="F15" s="70"/>
      <c r="G15" s="144">
        <f>'[2]Чичерина 22'!$G$37</f>
        <v>28473.99530000001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67" customFormat="1" ht="15">
      <c r="A18" s="75" t="s">
        <v>14</v>
      </c>
      <c r="B18" s="41" t="s">
        <v>15</v>
      </c>
      <c r="C18" s="135">
        <f>C19+C20+C21+C22</f>
        <v>9.879999999999999</v>
      </c>
      <c r="D18" s="76">
        <v>259609.21</v>
      </c>
      <c r="E18" s="76">
        <v>234690.96</v>
      </c>
      <c r="F18" s="76">
        <f aca="true" t="shared" si="0" ref="F18:F25">D18</f>
        <v>259609.21</v>
      </c>
      <c r="G18" s="77">
        <f>D18-E18</f>
        <v>24918.25</v>
      </c>
      <c r="H18" s="145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90915.77597165992</v>
      </c>
      <c r="E19" s="83">
        <f>E18*I19</f>
        <v>82189.34429149798</v>
      </c>
      <c r="F19" s="83">
        <f t="shared" si="0"/>
        <v>90915.77597165992</v>
      </c>
      <c r="G19" s="84">
        <f>D19-E19</f>
        <v>8726.431680161942</v>
      </c>
      <c r="H19" s="145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44406.838552631576</v>
      </c>
      <c r="E20" s="83">
        <f>E18*I20</f>
        <v>40144.50631578948</v>
      </c>
      <c r="F20" s="83">
        <f t="shared" si="0"/>
        <v>44406.838552631576</v>
      </c>
      <c r="G20" s="84">
        <f aca="true" t="shared" si="1" ref="G20:G32">D20-E20</f>
        <v>4262.3322368420995</v>
      </c>
      <c r="H20" s="145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44406.838552631576</v>
      </c>
      <c r="E21" s="83">
        <f>E18*I21</f>
        <v>40144.50631578948</v>
      </c>
      <c r="F21" s="83">
        <f t="shared" si="0"/>
        <v>44406.838552631576</v>
      </c>
      <c r="G21" s="84">
        <f t="shared" si="1"/>
        <v>4262.3322368420995</v>
      </c>
      <c r="H21" s="145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79879.75692307693</v>
      </c>
      <c r="E22" s="83">
        <f>E18*I22</f>
        <v>72212.60307692309</v>
      </c>
      <c r="F22" s="83">
        <f t="shared" si="0"/>
        <v>79879.75692307693</v>
      </c>
      <c r="G22" s="84">
        <f t="shared" si="1"/>
        <v>7667.153846153844</v>
      </c>
      <c r="H22" s="145">
        <f>C22</f>
        <v>3.04</v>
      </c>
      <c r="I22" s="67">
        <f>H22/H18</f>
        <v>0.3076923076923077</v>
      </c>
    </row>
    <row r="23" spans="1:9" ht="15">
      <c r="A23" s="41" t="s">
        <v>25</v>
      </c>
      <c r="B23" s="140" t="s">
        <v>226</v>
      </c>
      <c r="C23" s="46">
        <v>130</v>
      </c>
      <c r="D23" s="77">
        <v>24570</v>
      </c>
      <c r="E23" s="77">
        <v>21842.38</v>
      </c>
      <c r="F23" s="77">
        <f t="shared" si="0"/>
        <v>24570</v>
      </c>
      <c r="G23" s="77">
        <f t="shared" si="1"/>
        <v>2727.619999999999</v>
      </c>
      <c r="H23" s="35">
        <f>32*130</f>
        <v>4160</v>
      </c>
      <c r="I23" s="35">
        <f>D23/H23</f>
        <v>5.90625</v>
      </c>
    </row>
    <row r="24" spans="1:7" ht="15">
      <c r="A24" s="41" t="s">
        <v>27</v>
      </c>
      <c r="B24" s="140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ht="15">
      <c r="A25" s="41" t="s">
        <v>29</v>
      </c>
      <c r="B25" s="140" t="s">
        <v>161</v>
      </c>
      <c r="C25" s="141">
        <v>12.54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</row>
    <row r="26" spans="1:7" ht="15">
      <c r="A26" s="41" t="s">
        <v>31</v>
      </c>
      <c r="B26" s="140" t="s">
        <v>116</v>
      </c>
      <c r="C26" s="97">
        <v>1.86</v>
      </c>
      <c r="D26" s="77">
        <v>46155.72</v>
      </c>
      <c r="E26" s="77">
        <v>41733.31</v>
      </c>
      <c r="F26" s="87">
        <f>F44</f>
        <v>127366.5831</v>
      </c>
      <c r="G26" s="77">
        <f t="shared" si="1"/>
        <v>4422.4100000000035</v>
      </c>
    </row>
    <row r="27" spans="1:7" ht="15">
      <c r="A27" s="41" t="s">
        <v>33</v>
      </c>
      <c r="B27" s="134" t="s">
        <v>34</v>
      </c>
      <c r="C27" s="46">
        <v>0</v>
      </c>
      <c r="D27" s="77">
        <v>0</v>
      </c>
      <c r="E27" s="77">
        <v>8.57</v>
      </c>
      <c r="F27" s="87">
        <v>0</v>
      </c>
      <c r="G27" s="77">
        <f t="shared" si="1"/>
        <v>-8.57</v>
      </c>
    </row>
    <row r="28" spans="1:7" ht="15">
      <c r="A28" s="41" t="s">
        <v>35</v>
      </c>
      <c r="B28" s="134" t="s">
        <v>36</v>
      </c>
      <c r="C28" s="97"/>
      <c r="D28" s="77">
        <f>SUM(D29:D32)</f>
        <v>1313831.88</v>
      </c>
      <c r="E28" s="77">
        <f>SUM(E29:E32)</f>
        <v>1260875.2</v>
      </c>
      <c r="F28" s="77">
        <f>SUM(F29:F32)</f>
        <v>1313831.88</v>
      </c>
      <c r="G28" s="77">
        <f t="shared" si="1"/>
        <v>52956.679999999935</v>
      </c>
    </row>
    <row r="29" spans="1:7" ht="15">
      <c r="A29" s="34" t="s">
        <v>37</v>
      </c>
      <c r="B29" s="34" t="s">
        <v>165</v>
      </c>
      <c r="C29" s="285">
        <v>6</v>
      </c>
      <c r="D29" s="84">
        <v>3052.39</v>
      </c>
      <c r="E29" s="84">
        <v>11437.1</v>
      </c>
      <c r="F29" s="84">
        <f>D29</f>
        <v>3052.39</v>
      </c>
      <c r="G29" s="84">
        <f t="shared" si="1"/>
        <v>-8384.710000000001</v>
      </c>
    </row>
    <row r="30" spans="1:7" ht="15">
      <c r="A30" s="34" t="s">
        <v>39</v>
      </c>
      <c r="B30" s="34" t="s">
        <v>137</v>
      </c>
      <c r="C30" s="285">
        <v>57.08</v>
      </c>
      <c r="D30" s="84">
        <v>320347.53</v>
      </c>
      <c r="E30" s="84">
        <v>298874.22</v>
      </c>
      <c r="F30" s="84">
        <f>D30</f>
        <v>320347.53</v>
      </c>
      <c r="G30" s="84">
        <f t="shared" si="1"/>
        <v>21473.310000000056</v>
      </c>
    </row>
    <row r="31" spans="1:7" ht="15">
      <c r="A31" s="34" t="s">
        <v>42</v>
      </c>
      <c r="B31" s="34" t="s">
        <v>40</v>
      </c>
      <c r="C31" s="286">
        <v>0</v>
      </c>
      <c r="D31" s="84">
        <v>0</v>
      </c>
      <c r="E31" s="84">
        <v>0</v>
      </c>
      <c r="F31" s="84">
        <f>D31</f>
        <v>0</v>
      </c>
      <c r="G31" s="84">
        <f t="shared" si="1"/>
        <v>0</v>
      </c>
    </row>
    <row r="32" spans="1:9" ht="15">
      <c r="A32" s="34" t="s">
        <v>41</v>
      </c>
      <c r="B32" s="34" t="s">
        <v>43</v>
      </c>
      <c r="C32" s="285">
        <v>2638.8</v>
      </c>
      <c r="D32" s="84">
        <v>990431.96</v>
      </c>
      <c r="E32" s="84">
        <v>950563.88</v>
      </c>
      <c r="F32" s="84">
        <f>D32</f>
        <v>990431.96</v>
      </c>
      <c r="G32" s="84">
        <f t="shared" si="1"/>
        <v>39868.07999999996</v>
      </c>
      <c r="H32" s="101"/>
      <c r="I32" s="101"/>
    </row>
    <row r="33" spans="1:9" ht="15.75" thickBot="1">
      <c r="A33" s="446" t="s">
        <v>294</v>
      </c>
      <c r="B33" s="447"/>
      <c r="C33" s="447"/>
      <c r="D33" s="448"/>
      <c r="E33" s="448"/>
      <c r="F33" s="448"/>
      <c r="G33" s="170"/>
      <c r="H33" s="101"/>
      <c r="I33" s="101"/>
    </row>
    <row r="34" spans="1:10" s="102" customFormat="1" ht="14.25" thickBot="1">
      <c r="A34" s="455" t="s">
        <v>413</v>
      </c>
      <c r="B34" s="456"/>
      <c r="C34" s="456"/>
      <c r="D34" s="65">
        <v>1265947.69</v>
      </c>
      <c r="E34" s="66"/>
      <c r="F34" s="66"/>
      <c r="G34" s="66"/>
      <c r="H34" s="62"/>
      <c r="I34" s="62"/>
      <c r="J34" s="101"/>
    </row>
    <row r="35" spans="1:9" s="67" customFormat="1" ht="7.5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414</v>
      </c>
      <c r="B36" s="64"/>
      <c r="C36" s="64"/>
      <c r="D36" s="69"/>
      <c r="E36" s="70"/>
      <c r="F36" s="70"/>
      <c r="G36" s="144">
        <f>G14+E27-F27</f>
        <v>13870.65</v>
      </c>
      <c r="H36" s="62"/>
      <c r="I36" s="62"/>
    </row>
    <row r="37" spans="1:9" s="67" customFormat="1" ht="15.75" thickBot="1">
      <c r="A37" s="63" t="s">
        <v>415</v>
      </c>
      <c r="B37" s="64"/>
      <c r="C37" s="64"/>
      <c r="D37" s="69"/>
      <c r="E37" s="70"/>
      <c r="F37" s="70"/>
      <c r="G37" s="144">
        <f>G15+E26-F26</f>
        <v>-57159.277799999996</v>
      </c>
      <c r="H37" s="62"/>
      <c r="I37" s="62"/>
    </row>
    <row r="38" spans="1:9" s="67" customFormat="1" ht="15">
      <c r="A38" s="516" t="s">
        <v>144</v>
      </c>
      <c r="B38" s="516"/>
      <c r="C38" s="68"/>
      <c r="D38" s="40"/>
      <c r="E38" s="66"/>
      <c r="F38" s="66"/>
      <c r="G38" s="40"/>
      <c r="H38" s="62"/>
      <c r="I38" s="62"/>
    </row>
    <row r="39" spans="1:9" s="67" customFormat="1" ht="15">
      <c r="A39" s="517" t="s">
        <v>145</v>
      </c>
      <c r="B39" s="518"/>
      <c r="C39" s="311" t="s">
        <v>146</v>
      </c>
      <c r="D39" s="311" t="s">
        <v>147</v>
      </c>
      <c r="E39" s="312" t="s">
        <v>148</v>
      </c>
      <c r="F39" s="313" t="s">
        <v>149</v>
      </c>
      <c r="G39" s="312" t="s">
        <v>150</v>
      </c>
      <c r="H39" s="62"/>
      <c r="I39" s="62"/>
    </row>
    <row r="40" spans="1:9" s="67" customFormat="1" ht="15">
      <c r="A40" s="519"/>
      <c r="B40" s="520"/>
      <c r="C40" s="294">
        <v>672.7</v>
      </c>
      <c r="D40" s="314">
        <f>E40/C40/12</f>
        <v>16.150728407908428</v>
      </c>
      <c r="E40" s="309">
        <f>126150.6+4224.54</f>
        <v>130375.14</v>
      </c>
      <c r="F40" s="315">
        <f>102711.2</f>
        <v>102711.2</v>
      </c>
      <c r="G40" s="314">
        <f>E40-F40</f>
        <v>27663.940000000002</v>
      </c>
      <c r="H40" s="62"/>
      <c r="I40" s="62"/>
    </row>
    <row r="41" spans="1:9" s="67" customFormat="1" ht="31.5" customHeight="1">
      <c r="A41" s="537" t="s">
        <v>44</v>
      </c>
      <c r="B41" s="537"/>
      <c r="C41" s="537"/>
      <c r="D41" s="537"/>
      <c r="E41" s="537"/>
      <c r="F41" s="537"/>
      <c r="G41" s="537"/>
      <c r="H41" s="537"/>
      <c r="I41" s="537"/>
    </row>
    <row r="43" spans="1:9" ht="28.5">
      <c r="A43" s="105" t="s">
        <v>11</v>
      </c>
      <c r="B43" s="471" t="s">
        <v>45</v>
      </c>
      <c r="C43" s="484"/>
      <c r="D43" s="105" t="s">
        <v>163</v>
      </c>
      <c r="E43" s="105" t="s">
        <v>162</v>
      </c>
      <c r="F43" s="471" t="s">
        <v>46</v>
      </c>
      <c r="G43" s="484"/>
      <c r="H43" s="171"/>
      <c r="I43" s="171"/>
    </row>
    <row r="44" spans="1:9" s="171" customFormat="1" ht="15">
      <c r="A44" s="109" t="s">
        <v>47</v>
      </c>
      <c r="B44" s="473" t="s">
        <v>111</v>
      </c>
      <c r="C44" s="491"/>
      <c r="D44" s="110"/>
      <c r="E44" s="110"/>
      <c r="F44" s="496">
        <f>SUM(F45:G49)</f>
        <v>127366.5831</v>
      </c>
      <c r="G44" s="483"/>
      <c r="H44" s="114"/>
      <c r="I44" s="114"/>
    </row>
    <row r="45" spans="1:9" s="171" customFormat="1" ht="15">
      <c r="A45" s="139" t="s">
        <v>16</v>
      </c>
      <c r="B45" s="513" t="s">
        <v>594</v>
      </c>
      <c r="C45" s="514"/>
      <c r="D45" s="411" t="s">
        <v>216</v>
      </c>
      <c r="E45" s="411">
        <v>0.19</v>
      </c>
      <c r="F45" s="563">
        <v>58338.89</v>
      </c>
      <c r="G45" s="564"/>
      <c r="H45" s="114"/>
      <c r="I45" s="114"/>
    </row>
    <row r="46" spans="1:9" s="171" customFormat="1" ht="15">
      <c r="A46" s="139" t="s">
        <v>18</v>
      </c>
      <c r="B46" s="513" t="s">
        <v>595</v>
      </c>
      <c r="C46" s="514"/>
      <c r="D46" s="411" t="s">
        <v>216</v>
      </c>
      <c r="E46" s="411">
        <v>0.01</v>
      </c>
      <c r="F46" s="563">
        <v>3610.36</v>
      </c>
      <c r="G46" s="564"/>
      <c r="H46" s="114"/>
      <c r="I46" s="114"/>
    </row>
    <row r="47" spans="1:9" s="171" customFormat="1" ht="15">
      <c r="A47" s="139" t="s">
        <v>20</v>
      </c>
      <c r="B47" s="513" t="s">
        <v>168</v>
      </c>
      <c r="C47" s="514"/>
      <c r="D47" s="411"/>
      <c r="E47" s="411"/>
      <c r="F47" s="563">
        <v>51000</v>
      </c>
      <c r="G47" s="564"/>
      <c r="H47" s="114"/>
      <c r="I47" s="114"/>
    </row>
    <row r="48" spans="1:9" s="171" customFormat="1" ht="15">
      <c r="A48" s="139" t="s">
        <v>22</v>
      </c>
      <c r="B48" s="477" t="s">
        <v>814</v>
      </c>
      <c r="C48" s="492"/>
      <c r="D48" s="202" t="s">
        <v>391</v>
      </c>
      <c r="E48" s="202">
        <v>5</v>
      </c>
      <c r="F48" s="615">
        <v>14000</v>
      </c>
      <c r="G48" s="483"/>
      <c r="H48" s="114"/>
      <c r="I48" s="114"/>
    </row>
    <row r="49" spans="1:9" s="114" customFormat="1" ht="13.5" customHeight="1">
      <c r="A49" s="139" t="s">
        <v>24</v>
      </c>
      <c r="B49" s="148" t="s">
        <v>188</v>
      </c>
      <c r="C49" s="149"/>
      <c r="D49" s="118"/>
      <c r="E49" s="118"/>
      <c r="F49" s="550">
        <f>E26*1%</f>
        <v>417.3331</v>
      </c>
      <c r="G49" s="550"/>
      <c r="H49" s="35"/>
      <c r="I49" s="35"/>
    </row>
    <row r="50" spans="1:9" ht="13.5" customHeight="1">
      <c r="A50" s="67"/>
      <c r="B50" s="67"/>
      <c r="C50" s="67"/>
      <c r="D50" s="67"/>
      <c r="E50" s="67"/>
      <c r="F50" s="67"/>
      <c r="G50" s="67"/>
      <c r="H50" s="67"/>
      <c r="I50" s="67"/>
    </row>
    <row r="51" spans="1:9" ht="13.5" customHeight="1">
      <c r="A51" s="67" t="s">
        <v>55</v>
      </c>
      <c r="B51" s="67"/>
      <c r="C51" s="67" t="s">
        <v>49</v>
      </c>
      <c r="D51" s="67"/>
      <c r="E51" s="67"/>
      <c r="F51" s="67" t="s">
        <v>90</v>
      </c>
      <c r="G51" s="67"/>
      <c r="H51" s="67"/>
      <c r="I51" s="67"/>
    </row>
    <row r="52" spans="1:9" ht="13.5" customHeight="1">
      <c r="A52" s="67"/>
      <c r="B52" s="67"/>
      <c r="C52" s="67"/>
      <c r="D52" s="67"/>
      <c r="E52" s="67"/>
      <c r="F52" s="126" t="s">
        <v>545</v>
      </c>
      <c r="G52" s="67"/>
      <c r="H52" s="67"/>
      <c r="I52" s="67"/>
    </row>
    <row r="53" spans="1:9" ht="13.5" customHeight="1">
      <c r="A53" s="67" t="s">
        <v>50</v>
      </c>
      <c r="B53" s="67"/>
      <c r="C53" s="67"/>
      <c r="D53" s="67"/>
      <c r="E53" s="67"/>
      <c r="F53" s="67"/>
      <c r="G53" s="67"/>
      <c r="H53" s="67"/>
      <c r="I53" s="67"/>
    </row>
    <row r="54" spans="3:7" s="67" customFormat="1" ht="15">
      <c r="C54" s="128" t="s">
        <v>51</v>
      </c>
      <c r="E54" s="128"/>
      <c r="F54" s="128"/>
      <c r="G54" s="128"/>
    </row>
    <row r="55" spans="1:9" s="67" customFormat="1" ht="15">
      <c r="A55" s="35"/>
      <c r="B55" s="154"/>
      <c r="C55" s="154"/>
      <c r="D55" s="154"/>
      <c r="E55" s="154"/>
      <c r="F55" s="35"/>
      <c r="G55" s="35"/>
      <c r="H55" s="35"/>
      <c r="I55" s="35"/>
    </row>
    <row r="56" s="67" customFormat="1" ht="13.5" customHeight="1"/>
  </sheetData>
  <sheetProtection/>
  <mergeCells count="25">
    <mergeCell ref="F49:G49"/>
    <mergeCell ref="A1:I1"/>
    <mergeCell ref="A2:I2"/>
    <mergeCell ref="A5:I5"/>
    <mergeCell ref="A10:I10"/>
    <mergeCell ref="A3:K3"/>
    <mergeCell ref="A11:I11"/>
    <mergeCell ref="A41:I41"/>
    <mergeCell ref="B43:C43"/>
    <mergeCell ref="F43:G43"/>
    <mergeCell ref="B48:C48"/>
    <mergeCell ref="F47:G47"/>
    <mergeCell ref="F48:G48"/>
    <mergeCell ref="B44:C44"/>
    <mergeCell ref="B45:C45"/>
    <mergeCell ref="F45:G45"/>
    <mergeCell ref="A12:I12"/>
    <mergeCell ref="B46:C46"/>
    <mergeCell ref="B47:C47"/>
    <mergeCell ref="F46:G46"/>
    <mergeCell ref="A33:F33"/>
    <mergeCell ref="F44:G44"/>
    <mergeCell ref="A34:C34"/>
    <mergeCell ref="A38:B38"/>
    <mergeCell ref="A39:B4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6">
      <selection activeCell="M47" sqref="M47"/>
    </sheetView>
  </sheetViews>
  <sheetFormatPr defaultColWidth="9.140625" defaultRowHeight="15" outlineLevelCol="1"/>
  <cols>
    <col min="1" max="1" width="3.57421875" style="19" customWidth="1"/>
    <col min="2" max="2" width="24.8515625" style="19" customWidth="1"/>
    <col min="3" max="3" width="8.00390625" style="19" customWidth="1"/>
    <col min="4" max="4" width="10.140625" style="19" customWidth="1"/>
    <col min="5" max="5" width="10.8515625" style="19" customWidth="1"/>
    <col min="6" max="6" width="10.57421875" style="19" customWidth="1"/>
    <col min="7" max="7" width="11.28125" style="19" customWidth="1"/>
    <col min="8" max="8" width="10.140625" style="19" customWidth="1"/>
    <col min="9" max="9" width="10.421875" style="19" customWidth="1"/>
    <col min="10" max="11" width="9.140625" style="19" hidden="1" customWidth="1" outlineLevel="1"/>
    <col min="12" max="12" width="9.140625" style="19" customWidth="1" collapsed="1"/>
    <col min="13" max="16384" width="9.140625" style="19" customWidth="1"/>
  </cols>
  <sheetData>
    <row r="1" spans="1:9" ht="12.75">
      <c r="A1" s="584" t="s">
        <v>0</v>
      </c>
      <c r="B1" s="584"/>
      <c r="C1" s="584"/>
      <c r="D1" s="584"/>
      <c r="E1" s="584"/>
      <c r="F1" s="584"/>
      <c r="G1" s="584"/>
      <c r="H1" s="584"/>
      <c r="I1" s="584"/>
    </row>
    <row r="2" spans="1:9" ht="12.75">
      <c r="A2" s="584" t="s">
        <v>52</v>
      </c>
      <c r="B2" s="584"/>
      <c r="C2" s="584"/>
      <c r="D2" s="584"/>
      <c r="E2" s="584"/>
      <c r="F2" s="584"/>
      <c r="G2" s="584"/>
      <c r="H2" s="584"/>
      <c r="I2" s="584"/>
    </row>
    <row r="3" spans="1:9" ht="12.75">
      <c r="A3" s="584" t="s">
        <v>95</v>
      </c>
      <c r="B3" s="584"/>
      <c r="C3" s="584"/>
      <c r="D3" s="584"/>
      <c r="E3" s="584"/>
      <c r="F3" s="584"/>
      <c r="G3" s="584"/>
      <c r="H3" s="584"/>
      <c r="I3" s="584"/>
    </row>
    <row r="4" spans="1:9" ht="12.75">
      <c r="A4" s="20"/>
      <c r="B4" s="20"/>
      <c r="C4" s="20"/>
      <c r="D4" s="20"/>
      <c r="E4" s="20"/>
      <c r="F4" s="20"/>
      <c r="G4" s="20"/>
      <c r="H4" s="20"/>
      <c r="I4" s="20"/>
    </row>
    <row r="5" spans="1:9" ht="12.75">
      <c r="A5" s="578" t="s">
        <v>1</v>
      </c>
      <c r="B5" s="584"/>
      <c r="C5" s="584"/>
      <c r="D5" s="584"/>
      <c r="E5" s="584"/>
      <c r="F5" s="584"/>
      <c r="G5" s="584"/>
      <c r="H5" s="584"/>
      <c r="I5" s="584"/>
    </row>
    <row r="7" spans="1:6" s="21" customFormat="1" ht="12.75">
      <c r="A7" s="21" t="s">
        <v>2</v>
      </c>
      <c r="F7" s="22" t="s">
        <v>53</v>
      </c>
    </row>
    <row r="8" spans="1:6" s="21" customFormat="1" ht="12.75">
      <c r="A8" s="21" t="s">
        <v>3</v>
      </c>
      <c r="F8" s="22" t="s">
        <v>54</v>
      </c>
    </row>
    <row r="9" s="21" customFormat="1" ht="12.75">
      <c r="A9" s="21" t="s">
        <v>4</v>
      </c>
    </row>
    <row r="10" spans="1:6" s="21" customFormat="1" ht="12.75">
      <c r="A10" s="21" t="s">
        <v>5</v>
      </c>
      <c r="F10" s="22" t="s">
        <v>6</v>
      </c>
    </row>
    <row r="11" spans="1:6" s="21" customFormat="1" ht="12.75">
      <c r="A11" s="21" t="s">
        <v>7</v>
      </c>
      <c r="F11" s="22" t="s">
        <v>6</v>
      </c>
    </row>
    <row r="12" s="21" customFormat="1" ht="12.75"/>
    <row r="13" spans="1:9" s="21" customFormat="1" ht="12.75">
      <c r="A13" s="574" t="s">
        <v>8</v>
      </c>
      <c r="B13" s="574"/>
      <c r="C13" s="574"/>
      <c r="D13" s="574"/>
      <c r="E13" s="574"/>
      <c r="F13" s="574"/>
      <c r="G13" s="574"/>
      <c r="H13" s="574"/>
      <c r="I13" s="574"/>
    </row>
    <row r="14" spans="1:9" s="21" customFormat="1" ht="12.75">
      <c r="A14" s="574" t="s">
        <v>9</v>
      </c>
      <c r="B14" s="574"/>
      <c r="C14" s="574"/>
      <c r="D14" s="574"/>
      <c r="E14" s="574"/>
      <c r="F14" s="574"/>
      <c r="G14" s="574"/>
      <c r="H14" s="574"/>
      <c r="I14" s="574"/>
    </row>
    <row r="15" spans="1:9" s="21" customFormat="1" ht="12.75">
      <c r="A15" s="574" t="s">
        <v>10</v>
      </c>
      <c r="B15" s="574"/>
      <c r="C15" s="574"/>
      <c r="D15" s="574"/>
      <c r="E15" s="574"/>
      <c r="F15" s="574"/>
      <c r="G15" s="574"/>
      <c r="H15" s="574"/>
      <c r="I15" s="574"/>
    </row>
    <row r="16" s="21" customFormat="1" ht="12.75"/>
    <row r="17" spans="1:9" s="14" customFormat="1" ht="51">
      <c r="A17" s="5" t="s">
        <v>11</v>
      </c>
      <c r="B17" s="5" t="s">
        <v>12</v>
      </c>
      <c r="C17" s="5" t="s">
        <v>91</v>
      </c>
      <c r="D17" s="5" t="s">
        <v>13</v>
      </c>
      <c r="E17" s="5" t="s">
        <v>86</v>
      </c>
      <c r="F17" s="5" t="s">
        <v>87</v>
      </c>
      <c r="G17" s="13" t="s">
        <v>88</v>
      </c>
      <c r="H17" s="5" t="s">
        <v>89</v>
      </c>
      <c r="I17" s="5" t="s">
        <v>101</v>
      </c>
    </row>
    <row r="18" spans="1:11" s="21" customFormat="1" ht="25.5">
      <c r="A18" s="23" t="s">
        <v>14</v>
      </c>
      <c r="B18" s="24" t="s">
        <v>15</v>
      </c>
      <c r="C18" s="25">
        <v>6.75</v>
      </c>
      <c r="D18" s="23">
        <v>-25096.32</v>
      </c>
      <c r="E18" s="23">
        <v>174103.45</v>
      </c>
      <c r="F18" s="26">
        <v>169317.59</v>
      </c>
      <c r="G18" s="26">
        <f>E18</f>
        <v>174103.45</v>
      </c>
      <c r="H18" s="27">
        <f aca="true" t="shared" si="0" ref="H18:H33">D18+F18-G18</f>
        <v>-29882.180000000022</v>
      </c>
      <c r="I18" s="27">
        <f aca="true" t="shared" si="1" ref="I18:I33">F18-E18</f>
        <v>-4785.860000000015</v>
      </c>
      <c r="J18" s="28">
        <v>6.75</v>
      </c>
      <c r="K18" s="28"/>
    </row>
    <row r="19" spans="1:11" s="21" customFormat="1" ht="25.5">
      <c r="A19" s="23" t="s">
        <v>16</v>
      </c>
      <c r="B19" s="24" t="s">
        <v>17</v>
      </c>
      <c r="C19" s="25">
        <v>2.41</v>
      </c>
      <c r="D19" s="26">
        <v>-8687.19</v>
      </c>
      <c r="E19" s="26">
        <f>E18*K19</f>
        <v>62161.37992592593</v>
      </c>
      <c r="F19" s="26">
        <f>F18*K19</f>
        <v>60452.65065185185</v>
      </c>
      <c r="G19" s="26">
        <f>E19</f>
        <v>62161.37992592593</v>
      </c>
      <c r="H19" s="27">
        <f t="shared" si="0"/>
        <v>-10395.919274074084</v>
      </c>
      <c r="I19" s="27">
        <f t="shared" si="1"/>
        <v>-1708.7292740740813</v>
      </c>
      <c r="J19" s="28">
        <v>2.41</v>
      </c>
      <c r="K19" s="28">
        <f>J19/J18</f>
        <v>0.35703703703703704</v>
      </c>
    </row>
    <row r="20" spans="1:11" s="21" customFormat="1" ht="25.5">
      <c r="A20" s="23" t="s">
        <v>18</v>
      </c>
      <c r="B20" s="24" t="s">
        <v>19</v>
      </c>
      <c r="C20" s="25">
        <v>1.2</v>
      </c>
      <c r="D20" s="26">
        <v>-4918.14</v>
      </c>
      <c r="E20" s="26">
        <f>E18*K20</f>
        <v>30951.724444444448</v>
      </c>
      <c r="F20" s="26">
        <f>F18*K20</f>
        <v>30100.90488888889</v>
      </c>
      <c r="G20" s="26">
        <f>E20</f>
        <v>30951.724444444448</v>
      </c>
      <c r="H20" s="27">
        <f t="shared" si="0"/>
        <v>-5768.959555555557</v>
      </c>
      <c r="I20" s="27">
        <f t="shared" si="1"/>
        <v>-850.8195555555576</v>
      </c>
      <c r="J20" s="28">
        <v>1.2</v>
      </c>
      <c r="K20" s="28">
        <f>J20/J18</f>
        <v>0.17777777777777778</v>
      </c>
    </row>
    <row r="21" spans="1:11" s="21" customFormat="1" ht="25.5">
      <c r="A21" s="23" t="s">
        <v>20</v>
      </c>
      <c r="B21" s="24" t="s">
        <v>21</v>
      </c>
      <c r="C21" s="25">
        <v>1.51</v>
      </c>
      <c r="D21" s="26">
        <v>-6113.21</v>
      </c>
      <c r="E21" s="26">
        <f>E18*K21</f>
        <v>38947.5865925926</v>
      </c>
      <c r="F21" s="26">
        <f>F18*K21</f>
        <v>37876.971985185184</v>
      </c>
      <c r="G21" s="26">
        <f>E21</f>
        <v>38947.5865925926</v>
      </c>
      <c r="H21" s="27">
        <f t="shared" si="0"/>
        <v>-7183.824607407412</v>
      </c>
      <c r="I21" s="27">
        <f t="shared" si="1"/>
        <v>-1070.6146074074131</v>
      </c>
      <c r="J21" s="28">
        <v>1.51</v>
      </c>
      <c r="K21" s="28">
        <f>J21/J18</f>
        <v>0.2237037037037037</v>
      </c>
    </row>
    <row r="22" spans="1:11" s="21" customFormat="1" ht="25.5">
      <c r="A22" s="23" t="s">
        <v>22</v>
      </c>
      <c r="B22" s="24" t="s">
        <v>23</v>
      </c>
      <c r="C22" s="25">
        <v>1.63</v>
      </c>
      <c r="D22" s="26">
        <v>-5377.78</v>
      </c>
      <c r="E22" s="26">
        <f>E18*K22</f>
        <v>42042.75903703704</v>
      </c>
      <c r="F22" s="26">
        <f>F18*K22</f>
        <v>40887.06247407407</v>
      </c>
      <c r="G22" s="26">
        <f>E22</f>
        <v>42042.75903703704</v>
      </c>
      <c r="H22" s="27">
        <f t="shared" si="0"/>
        <v>-6533.476562962969</v>
      </c>
      <c r="I22" s="27">
        <f t="shared" si="1"/>
        <v>-1155.6965629629703</v>
      </c>
      <c r="J22" s="28">
        <v>1.63</v>
      </c>
      <c r="K22" s="28">
        <f>J22/J18</f>
        <v>0.24148148148148146</v>
      </c>
    </row>
    <row r="23" spans="1:9" ht="12.75">
      <c r="A23" s="24" t="s">
        <v>25</v>
      </c>
      <c r="B23" s="24" t="s">
        <v>26</v>
      </c>
      <c r="C23" s="25">
        <v>3.15</v>
      </c>
      <c r="D23" s="24">
        <v>0</v>
      </c>
      <c r="E23" s="24">
        <v>0</v>
      </c>
      <c r="F23" s="27">
        <v>0</v>
      </c>
      <c r="G23" s="27">
        <v>0</v>
      </c>
      <c r="H23" s="27">
        <f t="shared" si="0"/>
        <v>0</v>
      </c>
      <c r="I23" s="27">
        <f t="shared" si="1"/>
        <v>0</v>
      </c>
    </row>
    <row r="24" spans="1:9" ht="12.75">
      <c r="A24" s="24" t="s">
        <v>27</v>
      </c>
      <c r="B24" s="24" t="s">
        <v>28</v>
      </c>
      <c r="C24" s="12">
        <v>2.6</v>
      </c>
      <c r="D24" s="24">
        <v>-6439.37</v>
      </c>
      <c r="E24" s="24">
        <v>59389.92</v>
      </c>
      <c r="F24" s="27">
        <v>57568.62</v>
      </c>
      <c r="G24" s="27">
        <f>E24</f>
        <v>59389.92</v>
      </c>
      <c r="H24" s="27">
        <f t="shared" si="0"/>
        <v>-8260.669999999998</v>
      </c>
      <c r="I24" s="27">
        <f t="shared" si="1"/>
        <v>-1821.2999999999956</v>
      </c>
    </row>
    <row r="25" spans="1:9" ht="12.75" customHeight="1">
      <c r="A25" s="24" t="s">
        <v>29</v>
      </c>
      <c r="B25" s="24" t="s">
        <v>30</v>
      </c>
      <c r="C25" s="25">
        <v>0.81</v>
      </c>
      <c r="D25" s="24">
        <v>0</v>
      </c>
      <c r="E25" s="24">
        <v>0</v>
      </c>
      <c r="F25" s="24">
        <v>0</v>
      </c>
      <c r="G25" s="24">
        <v>0</v>
      </c>
      <c r="H25" s="24">
        <f t="shared" si="0"/>
        <v>0</v>
      </c>
      <c r="I25" s="24">
        <f t="shared" si="1"/>
        <v>0</v>
      </c>
    </row>
    <row r="26" spans="1:9" ht="25.5">
      <c r="A26" s="24" t="s">
        <v>31</v>
      </c>
      <c r="B26" s="24" t="s">
        <v>32</v>
      </c>
      <c r="C26" s="25">
        <v>1.61</v>
      </c>
      <c r="D26" s="24">
        <v>-28369.61</v>
      </c>
      <c r="E26" s="24">
        <v>65703.01</v>
      </c>
      <c r="F26" s="24">
        <v>65330.4</v>
      </c>
      <c r="G26" s="24">
        <v>24581.67</v>
      </c>
      <c r="H26" s="24">
        <f>D26+F26-G26</f>
        <v>12379.120000000003</v>
      </c>
      <c r="I26" s="24">
        <f>F26-E26</f>
        <v>-372.6099999999933</v>
      </c>
    </row>
    <row r="27" spans="1:9" s="33" customFormat="1" ht="12.75">
      <c r="A27" s="582" t="s">
        <v>102</v>
      </c>
      <c r="B27" s="583"/>
      <c r="C27" s="31"/>
      <c r="D27" s="32">
        <f aca="true" t="shared" si="2" ref="D27:I27">D18+D23+D24+D25+D26</f>
        <v>-59905.3</v>
      </c>
      <c r="E27" s="32">
        <f t="shared" si="2"/>
        <v>299196.38</v>
      </c>
      <c r="F27" s="32">
        <f t="shared" si="2"/>
        <v>292216.61</v>
      </c>
      <c r="G27" s="32">
        <f t="shared" si="2"/>
        <v>258075.03999999998</v>
      </c>
      <c r="H27" s="32">
        <f t="shared" si="2"/>
        <v>-25763.730000000018</v>
      </c>
      <c r="I27" s="32">
        <f t="shared" si="2"/>
        <v>-6979.770000000004</v>
      </c>
    </row>
    <row r="28" spans="1:9" ht="25.5">
      <c r="A28" s="24" t="s">
        <v>33</v>
      </c>
      <c r="B28" s="24" t="s">
        <v>34</v>
      </c>
      <c r="C28" s="25">
        <v>0</v>
      </c>
      <c r="D28" s="24">
        <v>21203.4</v>
      </c>
      <c r="E28" s="24">
        <v>0</v>
      </c>
      <c r="F28" s="24">
        <v>42.57</v>
      </c>
      <c r="G28" s="24">
        <v>0</v>
      </c>
      <c r="H28" s="24">
        <f t="shared" si="0"/>
        <v>21245.97</v>
      </c>
      <c r="I28" s="24">
        <f t="shared" si="1"/>
        <v>42.57</v>
      </c>
    </row>
    <row r="29" spans="1:9" ht="25.5">
      <c r="A29" s="24" t="s">
        <v>35</v>
      </c>
      <c r="B29" s="24" t="s">
        <v>36</v>
      </c>
      <c r="C29" s="25">
        <f aca="true" t="shared" si="3" ref="C29:I29">SUM(C30:C33)</f>
        <v>1680.9299999999998</v>
      </c>
      <c r="D29" s="24">
        <f t="shared" si="3"/>
        <v>-101927.91</v>
      </c>
      <c r="E29" s="24">
        <f t="shared" si="3"/>
        <v>1158486.7</v>
      </c>
      <c r="F29" s="24">
        <f t="shared" si="3"/>
        <v>1093856.12</v>
      </c>
      <c r="G29" s="24">
        <f t="shared" si="3"/>
        <v>1144236.6</v>
      </c>
      <c r="H29" s="24">
        <f t="shared" si="3"/>
        <v>-152308.38999999996</v>
      </c>
      <c r="I29" s="24">
        <f t="shared" si="3"/>
        <v>-64630.57999999995</v>
      </c>
    </row>
    <row r="30" spans="1:9" ht="12.75">
      <c r="A30" s="24" t="s">
        <v>37</v>
      </c>
      <c r="B30" s="24" t="s">
        <v>93</v>
      </c>
      <c r="C30" s="12">
        <v>3.13</v>
      </c>
      <c r="D30" s="24">
        <v>-5404.73</v>
      </c>
      <c r="E30" s="24">
        <v>14250.1</v>
      </c>
      <c r="F30" s="24">
        <v>16846.06</v>
      </c>
      <c r="G30" s="24"/>
      <c r="H30" s="24">
        <f t="shared" si="0"/>
        <v>11441.330000000002</v>
      </c>
      <c r="I30" s="24">
        <f t="shared" si="1"/>
        <v>2595.960000000001</v>
      </c>
    </row>
    <row r="31" spans="1:9" ht="12.75">
      <c r="A31" s="24" t="s">
        <v>39</v>
      </c>
      <c r="B31" s="24" t="s">
        <v>38</v>
      </c>
      <c r="C31" s="12">
        <v>18.21</v>
      </c>
      <c r="D31" s="24">
        <v>-13533.66</v>
      </c>
      <c r="E31" s="24">
        <v>202200.89</v>
      </c>
      <c r="F31" s="24">
        <v>195379.97</v>
      </c>
      <c r="G31" s="24">
        <f>E31</f>
        <v>202200.89</v>
      </c>
      <c r="H31" s="24">
        <f t="shared" si="0"/>
        <v>-20354.580000000016</v>
      </c>
      <c r="I31" s="24">
        <f t="shared" si="1"/>
        <v>-6820.920000000013</v>
      </c>
    </row>
    <row r="32" spans="1:9" ht="12.75">
      <c r="A32" s="24" t="s">
        <v>42</v>
      </c>
      <c r="B32" s="24" t="s">
        <v>40</v>
      </c>
      <c r="C32" s="12">
        <v>115.3</v>
      </c>
      <c r="D32" s="24">
        <v>-22785.21</v>
      </c>
      <c r="E32" s="24">
        <v>350895.14</v>
      </c>
      <c r="F32" s="24">
        <v>322914.71</v>
      </c>
      <c r="G32" s="24">
        <f>E32</f>
        <v>350895.14</v>
      </c>
      <c r="H32" s="24">
        <f t="shared" si="0"/>
        <v>-50765.640000000014</v>
      </c>
      <c r="I32" s="24">
        <f t="shared" si="1"/>
        <v>-27980.429999999993</v>
      </c>
    </row>
    <row r="33" spans="1:9" ht="12.75">
      <c r="A33" s="24" t="s">
        <v>41</v>
      </c>
      <c r="B33" s="24" t="s">
        <v>43</v>
      </c>
      <c r="C33" s="12">
        <v>1544.29</v>
      </c>
      <c r="D33" s="24">
        <v>-60204.31</v>
      </c>
      <c r="E33" s="24">
        <v>591140.57</v>
      </c>
      <c r="F33" s="24">
        <v>558715.38</v>
      </c>
      <c r="G33" s="24">
        <f>E33</f>
        <v>591140.57</v>
      </c>
      <c r="H33" s="24">
        <f t="shared" si="0"/>
        <v>-92629.49999999994</v>
      </c>
      <c r="I33" s="24">
        <f t="shared" si="1"/>
        <v>-32425.189999999944</v>
      </c>
    </row>
    <row r="34" spans="1:11" s="16" customFormat="1" ht="15" customHeight="1">
      <c r="A34" s="575" t="s">
        <v>94</v>
      </c>
      <c r="B34" s="576"/>
      <c r="C34" s="577"/>
      <c r="D34" s="15">
        <f aca="true" t="shared" si="4" ref="D34:K34">D18+D23+D24+D25+D29</f>
        <v>-133463.6</v>
      </c>
      <c r="E34" s="15">
        <f t="shared" si="4"/>
        <v>1391980.0699999998</v>
      </c>
      <c r="F34" s="15">
        <f t="shared" si="4"/>
        <v>1320742.33</v>
      </c>
      <c r="G34" s="15">
        <f t="shared" si="4"/>
        <v>1377729.9700000002</v>
      </c>
      <c r="H34" s="15">
        <f t="shared" si="4"/>
        <v>-190451.24</v>
      </c>
      <c r="I34" s="15">
        <f t="shared" si="4"/>
        <v>-71237.73999999996</v>
      </c>
      <c r="J34" s="15">
        <f t="shared" si="4"/>
        <v>6.75</v>
      </c>
      <c r="K34" s="15">
        <f t="shared" si="4"/>
        <v>0</v>
      </c>
    </row>
    <row r="35" spans="1:11" s="16" customFormat="1" ht="11.25" customHeight="1">
      <c r="A35" s="17"/>
      <c r="B35" s="17"/>
      <c r="C35" s="17"/>
      <c r="D35" s="18"/>
      <c r="E35" s="18"/>
      <c r="F35" s="18"/>
      <c r="G35" s="18"/>
      <c r="H35" s="18"/>
      <c r="I35" s="18"/>
      <c r="J35" s="18"/>
      <c r="K35" s="18"/>
    </row>
    <row r="36" spans="1:9" ht="23.25" customHeight="1">
      <c r="A36" s="578" t="s">
        <v>44</v>
      </c>
      <c r="B36" s="578"/>
      <c r="C36" s="578"/>
      <c r="D36" s="578"/>
      <c r="E36" s="578"/>
      <c r="F36" s="578"/>
      <c r="G36" s="578"/>
      <c r="H36" s="578"/>
      <c r="I36" s="578"/>
    </row>
    <row r="38" spans="1:7" s="14" customFormat="1" ht="28.5" customHeight="1">
      <c r="A38" s="5" t="s">
        <v>11</v>
      </c>
      <c r="B38" s="579" t="s">
        <v>45</v>
      </c>
      <c r="C38" s="580"/>
      <c r="D38" s="580"/>
      <c r="E38" s="581"/>
      <c r="F38" s="579" t="s">
        <v>46</v>
      </c>
      <c r="G38" s="573"/>
    </row>
    <row r="39" spans="1:7" s="16" customFormat="1" ht="13.5">
      <c r="A39" s="29" t="s">
        <v>47</v>
      </c>
      <c r="B39" s="569" t="s">
        <v>48</v>
      </c>
      <c r="C39" s="570"/>
      <c r="D39" s="570"/>
      <c r="E39" s="571"/>
      <c r="F39" s="572">
        <f>SUM(F40:G43)</f>
        <v>24581.67</v>
      </c>
      <c r="G39" s="573"/>
    </row>
    <row r="40" spans="1:7" ht="15.75" customHeight="1">
      <c r="A40" s="24" t="s">
        <v>16</v>
      </c>
      <c r="B40" s="565" t="s">
        <v>98</v>
      </c>
      <c r="C40" s="566"/>
      <c r="D40" s="566"/>
      <c r="E40" s="567"/>
      <c r="F40" s="568">
        <v>1007.78</v>
      </c>
      <c r="G40" s="568"/>
    </row>
    <row r="41" spans="1:7" ht="15.75" customHeight="1">
      <c r="A41" s="24" t="s">
        <v>18</v>
      </c>
      <c r="B41" s="565" t="s">
        <v>97</v>
      </c>
      <c r="C41" s="566"/>
      <c r="D41" s="566"/>
      <c r="E41" s="567"/>
      <c r="F41" s="568">
        <v>10480.41</v>
      </c>
      <c r="G41" s="568"/>
    </row>
    <row r="42" spans="1:7" ht="15.75" customHeight="1">
      <c r="A42" s="24" t="s">
        <v>20</v>
      </c>
      <c r="B42" s="565" t="s">
        <v>99</v>
      </c>
      <c r="C42" s="566"/>
      <c r="D42" s="566"/>
      <c r="E42" s="567"/>
      <c r="F42" s="568">
        <v>3847.63</v>
      </c>
      <c r="G42" s="568"/>
    </row>
    <row r="43" spans="1:7" ht="15.75" customHeight="1">
      <c r="A43" s="24" t="s">
        <v>22</v>
      </c>
      <c r="B43" s="565" t="s">
        <v>100</v>
      </c>
      <c r="C43" s="566"/>
      <c r="D43" s="566"/>
      <c r="E43" s="567"/>
      <c r="F43" s="568">
        <v>9245.85</v>
      </c>
      <c r="G43" s="568"/>
    </row>
    <row r="44" spans="2:5" ht="12.75">
      <c r="B44" s="9"/>
      <c r="C44" s="9"/>
      <c r="D44" s="9"/>
      <c r="E44" s="9"/>
    </row>
    <row r="45" s="21" customFormat="1" ht="12.75"/>
    <row r="46" spans="1:8" s="21" customFormat="1" ht="12.75">
      <c r="A46" s="21" t="s">
        <v>55</v>
      </c>
      <c r="F46" s="21" t="s">
        <v>49</v>
      </c>
      <c r="H46" s="21" t="s">
        <v>90</v>
      </c>
    </row>
    <row r="47" s="21" customFormat="1" ht="12.75"/>
    <row r="48" s="21" customFormat="1" ht="12.75">
      <c r="F48" s="22" t="s">
        <v>96</v>
      </c>
    </row>
    <row r="49" s="21" customFormat="1" ht="12.75"/>
    <row r="50" s="21" customFormat="1" ht="12.75">
      <c r="A50" s="21" t="s">
        <v>50</v>
      </c>
    </row>
    <row r="51" spans="4:8" s="21" customFormat="1" ht="12.75">
      <c r="D51" s="30" t="s">
        <v>51</v>
      </c>
      <c r="F51" s="30"/>
      <c r="G51" s="30"/>
      <c r="H51" s="30"/>
    </row>
    <row r="52" s="21" customFormat="1" ht="12.75"/>
    <row r="53" s="21" customFormat="1" ht="12.75"/>
  </sheetData>
  <sheetProtection/>
  <mergeCells count="22">
    <mergeCell ref="A14:I14"/>
    <mergeCell ref="A1:I1"/>
    <mergeCell ref="A2:I2"/>
    <mergeCell ref="A3:I3"/>
    <mergeCell ref="A5:I5"/>
    <mergeCell ref="A13:I13"/>
    <mergeCell ref="B39:E39"/>
    <mergeCell ref="F39:G39"/>
    <mergeCell ref="A15:I15"/>
    <mergeCell ref="A34:C34"/>
    <mergeCell ref="A36:I36"/>
    <mergeCell ref="B38:E38"/>
    <mergeCell ref="F38:G38"/>
    <mergeCell ref="A27:B27"/>
    <mergeCell ref="B40:E40"/>
    <mergeCell ref="F40:G40"/>
    <mergeCell ref="B41:E41"/>
    <mergeCell ref="F41:G41"/>
    <mergeCell ref="B43:E43"/>
    <mergeCell ref="F43:G43"/>
    <mergeCell ref="B42:E42"/>
    <mergeCell ref="F42:G4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3">
      <selection activeCell="O40" sqref="O40"/>
    </sheetView>
  </sheetViews>
  <sheetFormatPr defaultColWidth="9.140625" defaultRowHeight="15" outlineLevelCol="1"/>
  <cols>
    <col min="1" max="1" width="3.8515625" style="19" customWidth="1"/>
    <col min="2" max="2" width="29.28125" style="19" customWidth="1"/>
    <col min="3" max="3" width="11.421875" style="19" customWidth="1"/>
    <col min="4" max="4" width="13.28125" style="19" customWidth="1"/>
    <col min="5" max="5" width="14.57421875" style="19" customWidth="1"/>
    <col min="6" max="6" width="13.421875" style="19" customWidth="1"/>
    <col min="7" max="7" width="14.00390625" style="19" customWidth="1"/>
    <col min="8" max="8" width="10.140625" style="19" hidden="1" customWidth="1" outlineLevel="1"/>
    <col min="9" max="9" width="10.421875" style="19" hidden="1" customWidth="1" outlineLevel="1"/>
    <col min="10" max="11" width="9.140625" style="19" hidden="1" customWidth="1" outlineLevel="1"/>
    <col min="12" max="12" width="9.140625" style="19" customWidth="1" collapsed="1"/>
    <col min="13" max="16384" width="9.140625" style="19" customWidth="1"/>
  </cols>
  <sheetData>
    <row r="1" spans="1:9" ht="12.75">
      <c r="A1" s="584" t="s">
        <v>0</v>
      </c>
      <c r="B1" s="584"/>
      <c r="C1" s="584"/>
      <c r="D1" s="584"/>
      <c r="E1" s="584"/>
      <c r="F1" s="584"/>
      <c r="G1" s="584"/>
      <c r="H1" s="584"/>
      <c r="I1" s="584"/>
    </row>
    <row r="2" spans="1:9" ht="12.75">
      <c r="A2" s="584" t="s">
        <v>52</v>
      </c>
      <c r="B2" s="584"/>
      <c r="C2" s="584"/>
      <c r="D2" s="584"/>
      <c r="E2" s="584"/>
      <c r="F2" s="584"/>
      <c r="G2" s="584"/>
      <c r="H2" s="584"/>
      <c r="I2" s="584"/>
    </row>
    <row r="3" spans="1:9" ht="12.75">
      <c r="A3" s="584" t="s">
        <v>95</v>
      </c>
      <c r="B3" s="584"/>
      <c r="C3" s="584"/>
      <c r="D3" s="584"/>
      <c r="E3" s="584"/>
      <c r="F3" s="584"/>
      <c r="G3" s="584"/>
      <c r="H3" s="584"/>
      <c r="I3" s="584"/>
    </row>
    <row r="4" spans="1:9" ht="12.75">
      <c r="A4" s="20"/>
      <c r="B4" s="20"/>
      <c r="C4" s="20"/>
      <c r="D4" s="20"/>
      <c r="E4" s="20"/>
      <c r="F4" s="20"/>
      <c r="G4" s="20"/>
      <c r="H4" s="20"/>
      <c r="I4" s="20"/>
    </row>
    <row r="5" spans="1:9" ht="12.75">
      <c r="A5" s="578" t="s">
        <v>1</v>
      </c>
      <c r="B5" s="584"/>
      <c r="C5" s="584"/>
      <c r="D5" s="584"/>
      <c r="E5" s="584"/>
      <c r="F5" s="584"/>
      <c r="G5" s="584"/>
      <c r="H5" s="584"/>
      <c r="I5" s="584"/>
    </row>
    <row r="7" spans="1:6" s="21" customFormat="1" ht="12.75">
      <c r="A7" s="21" t="s">
        <v>2</v>
      </c>
      <c r="F7" s="22" t="s">
        <v>53</v>
      </c>
    </row>
    <row r="8" spans="1:6" s="21" customFormat="1" ht="12.75">
      <c r="A8" s="21" t="s">
        <v>3</v>
      </c>
      <c r="F8" s="22" t="s">
        <v>54</v>
      </c>
    </row>
    <row r="9" s="21" customFormat="1" ht="12.75">
      <c r="A9" s="21" t="s">
        <v>4</v>
      </c>
    </row>
    <row r="10" spans="1:6" s="21" customFormat="1" ht="12.75">
      <c r="A10" s="21" t="s">
        <v>5</v>
      </c>
      <c r="F10" s="22" t="s">
        <v>6</v>
      </c>
    </row>
    <row r="11" spans="1:6" s="21" customFormat="1" ht="12.75">
      <c r="A11" s="21" t="s">
        <v>7</v>
      </c>
      <c r="F11" s="22" t="s">
        <v>6</v>
      </c>
    </row>
    <row r="12" s="21" customFormat="1" ht="12.75"/>
    <row r="13" spans="1:9" s="21" customFormat="1" ht="12.75">
      <c r="A13" s="574" t="s">
        <v>8</v>
      </c>
      <c r="B13" s="574"/>
      <c r="C13" s="574"/>
      <c r="D13" s="574"/>
      <c r="E13" s="574"/>
      <c r="F13" s="574"/>
      <c r="G13" s="574"/>
      <c r="H13" s="574"/>
      <c r="I13" s="574"/>
    </row>
    <row r="14" spans="1:9" s="21" customFormat="1" ht="12.75">
      <c r="A14" s="574" t="s">
        <v>9</v>
      </c>
      <c r="B14" s="574"/>
      <c r="C14" s="574"/>
      <c r="D14" s="574"/>
      <c r="E14" s="574"/>
      <c r="F14" s="574"/>
      <c r="G14" s="574"/>
      <c r="H14" s="574"/>
      <c r="I14" s="574"/>
    </row>
    <row r="15" spans="1:9" s="21" customFormat="1" ht="12.75">
      <c r="A15" s="574" t="s">
        <v>10</v>
      </c>
      <c r="B15" s="574"/>
      <c r="C15" s="574"/>
      <c r="D15" s="574"/>
      <c r="E15" s="574"/>
      <c r="F15" s="574"/>
      <c r="G15" s="574"/>
      <c r="H15" s="574"/>
      <c r="I15" s="574"/>
    </row>
    <row r="16" s="21" customFormat="1" ht="12.75"/>
    <row r="17" spans="1:7" s="14" customFormat="1" ht="51">
      <c r="A17" s="5" t="s">
        <v>11</v>
      </c>
      <c r="B17" s="5" t="s">
        <v>12</v>
      </c>
      <c r="C17" s="5" t="s">
        <v>91</v>
      </c>
      <c r="D17" s="5" t="s">
        <v>86</v>
      </c>
      <c r="E17" s="5" t="s">
        <v>87</v>
      </c>
      <c r="F17" s="13" t="s">
        <v>88</v>
      </c>
      <c r="G17" s="5" t="s">
        <v>101</v>
      </c>
    </row>
    <row r="18" spans="1:9" s="21" customFormat="1" ht="25.5">
      <c r="A18" s="23" t="s">
        <v>14</v>
      </c>
      <c r="B18" s="24" t="s">
        <v>15</v>
      </c>
      <c r="C18" s="25">
        <v>6.75</v>
      </c>
      <c r="D18" s="23">
        <v>174103.45</v>
      </c>
      <c r="E18" s="26">
        <v>169317.59</v>
      </c>
      <c r="F18" s="26">
        <f>D18</f>
        <v>174103.45</v>
      </c>
      <c r="G18" s="27">
        <f aca="true" t="shared" si="0" ref="G18:G27">E18-D18</f>
        <v>-4785.860000000015</v>
      </c>
      <c r="H18" s="28">
        <v>6.75</v>
      </c>
      <c r="I18" s="28"/>
    </row>
    <row r="19" spans="1:9" s="21" customFormat="1" ht="25.5">
      <c r="A19" s="23" t="s">
        <v>16</v>
      </c>
      <c r="B19" s="24" t="s">
        <v>17</v>
      </c>
      <c r="C19" s="25">
        <v>2.41</v>
      </c>
      <c r="D19" s="26">
        <f>D18*I19</f>
        <v>62161.37992592593</v>
      </c>
      <c r="E19" s="26">
        <f>E18*I19</f>
        <v>60452.65065185185</v>
      </c>
      <c r="F19" s="26">
        <f>D19</f>
        <v>62161.37992592593</v>
      </c>
      <c r="G19" s="27">
        <f t="shared" si="0"/>
        <v>-1708.7292740740813</v>
      </c>
      <c r="H19" s="28">
        <v>2.41</v>
      </c>
      <c r="I19" s="28">
        <f>H19/H18</f>
        <v>0.35703703703703704</v>
      </c>
    </row>
    <row r="20" spans="1:9" s="21" customFormat="1" ht="25.5">
      <c r="A20" s="23" t="s">
        <v>18</v>
      </c>
      <c r="B20" s="24" t="s">
        <v>19</v>
      </c>
      <c r="C20" s="25">
        <v>1.2</v>
      </c>
      <c r="D20" s="26">
        <f>D18*I20</f>
        <v>30951.724444444448</v>
      </c>
      <c r="E20" s="26">
        <f>E18*I20</f>
        <v>30100.90488888889</v>
      </c>
      <c r="F20" s="26">
        <f>D20</f>
        <v>30951.724444444448</v>
      </c>
      <c r="G20" s="27">
        <f t="shared" si="0"/>
        <v>-850.8195555555576</v>
      </c>
      <c r="H20" s="28">
        <v>1.2</v>
      </c>
      <c r="I20" s="28">
        <f>H20/H18</f>
        <v>0.17777777777777778</v>
      </c>
    </row>
    <row r="21" spans="1:9" s="21" customFormat="1" ht="12.75">
      <c r="A21" s="23" t="s">
        <v>20</v>
      </c>
      <c r="B21" s="24" t="s">
        <v>21</v>
      </c>
      <c r="C21" s="25">
        <v>1.51</v>
      </c>
      <c r="D21" s="26">
        <f>D18*I21</f>
        <v>38947.5865925926</v>
      </c>
      <c r="E21" s="26">
        <f>E18*I21</f>
        <v>37876.971985185184</v>
      </c>
      <c r="F21" s="26">
        <f>D21</f>
        <v>38947.5865925926</v>
      </c>
      <c r="G21" s="27">
        <f t="shared" si="0"/>
        <v>-1070.6146074074131</v>
      </c>
      <c r="H21" s="28">
        <v>1.51</v>
      </c>
      <c r="I21" s="28">
        <f>H21/H18</f>
        <v>0.2237037037037037</v>
      </c>
    </row>
    <row r="22" spans="1:9" s="21" customFormat="1" ht="25.5">
      <c r="A22" s="23" t="s">
        <v>22</v>
      </c>
      <c r="B22" s="24" t="s">
        <v>23</v>
      </c>
      <c r="C22" s="25">
        <v>1.63</v>
      </c>
      <c r="D22" s="26">
        <f>D18*I22</f>
        <v>42042.75903703704</v>
      </c>
      <c r="E22" s="26">
        <f>E18*I22</f>
        <v>40887.06247407407</v>
      </c>
      <c r="F22" s="26">
        <f>D22</f>
        <v>42042.75903703704</v>
      </c>
      <c r="G22" s="27">
        <f t="shared" si="0"/>
        <v>-1155.6965629629703</v>
      </c>
      <c r="H22" s="28">
        <v>1.63</v>
      </c>
      <c r="I22" s="28">
        <f>H22/H18</f>
        <v>0.24148148148148146</v>
      </c>
    </row>
    <row r="23" spans="1:7" ht="12.75">
      <c r="A23" s="24" t="s">
        <v>25</v>
      </c>
      <c r="B23" s="24" t="s">
        <v>26</v>
      </c>
      <c r="C23" s="25">
        <v>3.15</v>
      </c>
      <c r="D23" s="24">
        <v>0</v>
      </c>
      <c r="E23" s="27">
        <v>0</v>
      </c>
      <c r="F23" s="27">
        <v>0</v>
      </c>
      <c r="G23" s="27">
        <f t="shared" si="0"/>
        <v>0</v>
      </c>
    </row>
    <row r="24" spans="1:7" ht="12.75">
      <c r="A24" s="24" t="s">
        <v>27</v>
      </c>
      <c r="B24" s="24" t="s">
        <v>28</v>
      </c>
      <c r="C24" s="12">
        <v>2.6</v>
      </c>
      <c r="D24" s="24">
        <v>59389.92</v>
      </c>
      <c r="E24" s="27">
        <v>57568.62</v>
      </c>
      <c r="F24" s="27">
        <f>D24</f>
        <v>59389.92</v>
      </c>
      <c r="G24" s="27">
        <f t="shared" si="0"/>
        <v>-1821.2999999999956</v>
      </c>
    </row>
    <row r="25" spans="1:7" ht="12.75">
      <c r="A25" s="24" t="s">
        <v>29</v>
      </c>
      <c r="B25" s="24" t="s">
        <v>30</v>
      </c>
      <c r="C25" s="25">
        <v>0.81</v>
      </c>
      <c r="D25" s="24">
        <v>0</v>
      </c>
      <c r="E25" s="24">
        <v>0</v>
      </c>
      <c r="F25" s="24">
        <v>0</v>
      </c>
      <c r="G25" s="24">
        <f t="shared" si="0"/>
        <v>0</v>
      </c>
    </row>
    <row r="26" spans="1:7" ht="25.5">
      <c r="A26" s="24" t="s">
        <v>31</v>
      </c>
      <c r="B26" s="24" t="s">
        <v>32</v>
      </c>
      <c r="C26" s="25">
        <v>1.61</v>
      </c>
      <c r="D26" s="24">
        <v>65703.01</v>
      </c>
      <c r="E26" s="24">
        <v>65330.4</v>
      </c>
      <c r="F26" s="24">
        <v>24581.67</v>
      </c>
      <c r="G26" s="24">
        <f t="shared" si="0"/>
        <v>-372.6099999999933</v>
      </c>
    </row>
    <row r="27" spans="1:7" ht="25.5">
      <c r="A27" s="24" t="s">
        <v>33</v>
      </c>
      <c r="B27" s="24" t="s">
        <v>34</v>
      </c>
      <c r="C27" s="25">
        <v>0</v>
      </c>
      <c r="D27" s="24">
        <v>0</v>
      </c>
      <c r="E27" s="24">
        <v>42.57</v>
      </c>
      <c r="F27" s="24">
        <v>0</v>
      </c>
      <c r="G27" s="24">
        <f t="shared" si="0"/>
        <v>42.57</v>
      </c>
    </row>
    <row r="28" spans="1:7" ht="25.5">
      <c r="A28" s="24" t="s">
        <v>35</v>
      </c>
      <c r="B28" s="24" t="s">
        <v>36</v>
      </c>
      <c r="C28" s="25">
        <f>SUM(C29:C32)</f>
        <v>1680.9299999999998</v>
      </c>
      <c r="D28" s="24">
        <f>SUM(D29:D32)</f>
        <v>1158486.7</v>
      </c>
      <c r="E28" s="24">
        <f>SUM(E29:E32)</f>
        <v>1093856.12</v>
      </c>
      <c r="F28" s="24">
        <f>SUM(F29:F32)</f>
        <v>1144236.6</v>
      </c>
      <c r="G28" s="24">
        <f>SUM(G29:G32)</f>
        <v>-64630.57999999995</v>
      </c>
    </row>
    <row r="29" spans="1:7" ht="12.75">
      <c r="A29" s="24" t="s">
        <v>37</v>
      </c>
      <c r="B29" s="24" t="s">
        <v>93</v>
      </c>
      <c r="C29" s="12">
        <v>3.13</v>
      </c>
      <c r="D29" s="24">
        <v>14250.1</v>
      </c>
      <c r="E29" s="24">
        <v>16846.06</v>
      </c>
      <c r="F29" s="24"/>
      <c r="G29" s="24">
        <f>E29-D29</f>
        <v>2595.960000000001</v>
      </c>
    </row>
    <row r="30" spans="1:7" ht="12.75">
      <c r="A30" s="24" t="s">
        <v>39</v>
      </c>
      <c r="B30" s="24" t="s">
        <v>38</v>
      </c>
      <c r="C30" s="12">
        <v>18.21</v>
      </c>
      <c r="D30" s="24">
        <v>202200.89</v>
      </c>
      <c r="E30" s="24">
        <v>195379.97</v>
      </c>
      <c r="F30" s="24">
        <f>D30</f>
        <v>202200.89</v>
      </c>
      <c r="G30" s="24">
        <f>E30-D30</f>
        <v>-6820.920000000013</v>
      </c>
    </row>
    <row r="31" spans="1:7" ht="12.75">
      <c r="A31" s="24" t="s">
        <v>42</v>
      </c>
      <c r="B31" s="24" t="s">
        <v>40</v>
      </c>
      <c r="C31" s="12">
        <v>115.3</v>
      </c>
      <c r="D31" s="24">
        <v>350895.14</v>
      </c>
      <c r="E31" s="24">
        <v>322914.71</v>
      </c>
      <c r="F31" s="24">
        <f>D31</f>
        <v>350895.14</v>
      </c>
      <c r="G31" s="24">
        <f>E31-D31</f>
        <v>-27980.429999999993</v>
      </c>
    </row>
    <row r="32" spans="1:7" ht="12.75">
      <c r="A32" s="24" t="s">
        <v>41</v>
      </c>
      <c r="B32" s="24" t="s">
        <v>43</v>
      </c>
      <c r="C32" s="12">
        <v>1544.29</v>
      </c>
      <c r="D32" s="24">
        <v>591140.57</v>
      </c>
      <c r="E32" s="24">
        <v>558715.38</v>
      </c>
      <c r="F32" s="24">
        <f>D32</f>
        <v>591140.57</v>
      </c>
      <c r="G32" s="24">
        <f>E32-D32</f>
        <v>-32425.189999999944</v>
      </c>
    </row>
    <row r="33" spans="1:9" s="16" customFormat="1" ht="15" customHeight="1">
      <c r="A33" s="575" t="s">
        <v>94</v>
      </c>
      <c r="B33" s="576"/>
      <c r="C33" s="577"/>
      <c r="D33" s="15">
        <f aca="true" t="shared" si="1" ref="D33:I33">D18+D23+D24+D25+D28</f>
        <v>1391980.0699999998</v>
      </c>
      <c r="E33" s="15">
        <f t="shared" si="1"/>
        <v>1320742.33</v>
      </c>
      <c r="F33" s="15">
        <f t="shared" si="1"/>
        <v>1377729.9700000002</v>
      </c>
      <c r="G33" s="15">
        <f t="shared" si="1"/>
        <v>-71237.73999999996</v>
      </c>
      <c r="H33" s="15">
        <f t="shared" si="1"/>
        <v>6.75</v>
      </c>
      <c r="I33" s="15">
        <f t="shared" si="1"/>
        <v>0</v>
      </c>
    </row>
    <row r="34" spans="1:11" s="16" customFormat="1" ht="9.75" customHeight="1">
      <c r="A34" s="17"/>
      <c r="B34" s="17"/>
      <c r="C34" s="17"/>
      <c r="D34" s="18"/>
      <c r="E34" s="18"/>
      <c r="F34" s="18"/>
      <c r="G34" s="18"/>
      <c r="H34" s="18"/>
      <c r="I34" s="18"/>
      <c r="J34" s="18"/>
      <c r="K34" s="18"/>
    </row>
    <row r="35" spans="1:9" ht="23.25" customHeight="1">
      <c r="A35" s="578" t="s">
        <v>44</v>
      </c>
      <c r="B35" s="578"/>
      <c r="C35" s="578"/>
      <c r="D35" s="578"/>
      <c r="E35" s="578"/>
      <c r="F35" s="578"/>
      <c r="G35" s="578"/>
      <c r="H35" s="578"/>
      <c r="I35" s="578"/>
    </row>
    <row r="37" spans="1:7" s="14" customFormat="1" ht="28.5" customHeight="1">
      <c r="A37" s="5" t="s">
        <v>11</v>
      </c>
      <c r="B37" s="579" t="s">
        <v>45</v>
      </c>
      <c r="C37" s="580"/>
      <c r="D37" s="580"/>
      <c r="E37" s="581"/>
      <c r="F37" s="579" t="s">
        <v>46</v>
      </c>
      <c r="G37" s="573"/>
    </row>
    <row r="38" spans="1:7" s="16" customFormat="1" ht="13.5">
      <c r="A38" s="29" t="s">
        <v>47</v>
      </c>
      <c r="B38" s="569" t="s">
        <v>48</v>
      </c>
      <c r="C38" s="570"/>
      <c r="D38" s="570"/>
      <c r="E38" s="571"/>
      <c r="F38" s="572">
        <f>SUM(F39:G42)</f>
        <v>24581.67</v>
      </c>
      <c r="G38" s="573"/>
    </row>
    <row r="39" spans="1:7" ht="15.75" customHeight="1">
      <c r="A39" s="24" t="s">
        <v>16</v>
      </c>
      <c r="B39" s="565" t="s">
        <v>98</v>
      </c>
      <c r="C39" s="566"/>
      <c r="D39" s="566"/>
      <c r="E39" s="567"/>
      <c r="F39" s="568">
        <v>1007.78</v>
      </c>
      <c r="G39" s="568"/>
    </row>
    <row r="40" spans="1:7" ht="15.75" customHeight="1">
      <c r="A40" s="24" t="s">
        <v>18</v>
      </c>
      <c r="B40" s="565" t="s">
        <v>97</v>
      </c>
      <c r="C40" s="566"/>
      <c r="D40" s="566"/>
      <c r="E40" s="567"/>
      <c r="F40" s="568">
        <v>10480.41</v>
      </c>
      <c r="G40" s="568"/>
    </row>
    <row r="41" spans="1:7" ht="15.75" customHeight="1">
      <c r="A41" s="24" t="s">
        <v>20</v>
      </c>
      <c r="B41" s="565" t="s">
        <v>99</v>
      </c>
      <c r="C41" s="566"/>
      <c r="D41" s="566"/>
      <c r="E41" s="567"/>
      <c r="F41" s="568">
        <v>3847.63</v>
      </c>
      <c r="G41" s="568"/>
    </row>
    <row r="42" spans="1:7" ht="15.75" customHeight="1">
      <c r="A42" s="24" t="s">
        <v>22</v>
      </c>
      <c r="B42" s="565" t="s">
        <v>100</v>
      </c>
      <c r="C42" s="566"/>
      <c r="D42" s="566"/>
      <c r="E42" s="567"/>
      <c r="F42" s="568">
        <v>9245.85</v>
      </c>
      <c r="G42" s="568"/>
    </row>
    <row r="43" spans="2:5" ht="12.75">
      <c r="B43" s="9"/>
      <c r="C43" s="9"/>
      <c r="D43" s="9"/>
      <c r="E43" s="9"/>
    </row>
    <row r="44" spans="1:7" s="21" customFormat="1" ht="12.75">
      <c r="A44" s="21" t="s">
        <v>55</v>
      </c>
      <c r="E44" s="21" t="s">
        <v>49</v>
      </c>
      <c r="G44" s="21" t="s">
        <v>90</v>
      </c>
    </row>
    <row r="45" s="21" customFormat="1" ht="12.75"/>
    <row r="46" s="21" customFormat="1" ht="12.75">
      <c r="E46" s="22" t="s">
        <v>96</v>
      </c>
    </row>
    <row r="47" s="21" customFormat="1" ht="12.75">
      <c r="A47" s="21" t="s">
        <v>50</v>
      </c>
    </row>
    <row r="48" spans="3:8" s="21" customFormat="1" ht="12.75">
      <c r="C48" s="30" t="s">
        <v>51</v>
      </c>
      <c r="F48" s="30"/>
      <c r="G48" s="30"/>
      <c r="H48" s="30"/>
    </row>
    <row r="49" s="21" customFormat="1" ht="12.75"/>
    <row r="50" s="21" customFormat="1" ht="12.75"/>
  </sheetData>
  <sheetProtection/>
  <mergeCells count="21">
    <mergeCell ref="B42:E42"/>
    <mergeCell ref="F42:G42"/>
    <mergeCell ref="B39:E39"/>
    <mergeCell ref="F39:G39"/>
    <mergeCell ref="B40:E40"/>
    <mergeCell ref="B41:E41"/>
    <mergeCell ref="F40:G40"/>
    <mergeCell ref="F41:G41"/>
    <mergeCell ref="F38:G38"/>
    <mergeCell ref="A33:C33"/>
    <mergeCell ref="F37:G37"/>
    <mergeCell ref="A14:I14"/>
    <mergeCell ref="B38:E38"/>
    <mergeCell ref="A15:I15"/>
    <mergeCell ref="A35:I35"/>
    <mergeCell ref="A1:I1"/>
    <mergeCell ref="A2:I2"/>
    <mergeCell ref="A3:I3"/>
    <mergeCell ref="A5:I5"/>
    <mergeCell ref="B37:E37"/>
    <mergeCell ref="A13:I1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A1:O69"/>
  <sheetViews>
    <sheetView zoomScalePageLayoutView="0" workbookViewId="0" topLeftCell="A49">
      <selection activeCell="F61" sqref="F61:G61"/>
    </sheetView>
  </sheetViews>
  <sheetFormatPr defaultColWidth="9.140625" defaultRowHeight="15" outlineLevelCol="1"/>
  <cols>
    <col min="1" max="1" width="5.8515625" style="35" customWidth="1"/>
    <col min="2" max="2" width="48.140625" style="35" customWidth="1"/>
    <col min="3" max="3" width="14.57421875" style="35" customWidth="1"/>
    <col min="4" max="5" width="13.140625" style="35" customWidth="1"/>
    <col min="6" max="6" width="13.00390625" style="35" customWidth="1"/>
    <col min="7" max="7" width="13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1.28125" style="35" bestFit="1" customWidth="1" collapsed="1"/>
    <col min="14" max="14" width="11.421875" style="35" bestFit="1" customWidth="1"/>
    <col min="15" max="15" width="12.00390625" style="35" bestFit="1" customWidth="1"/>
    <col min="16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5.7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7.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5.7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2.25" customHeight="1"/>
    <row r="7" spans="1:6" s="67" customFormat="1" ht="16.5" customHeight="1">
      <c r="A7" s="67" t="s">
        <v>2</v>
      </c>
      <c r="F7" s="126" t="s">
        <v>105</v>
      </c>
    </row>
    <row r="8" spans="1:11" s="67" customFormat="1" ht="15">
      <c r="A8" s="67" t="s">
        <v>3</v>
      </c>
      <c r="F8" s="291" t="s">
        <v>439</v>
      </c>
      <c r="I8" s="199">
        <f>62.3+64+50.3+442</f>
        <v>618.6</v>
      </c>
      <c r="J8" s="199">
        <f>3633.7-0.8</f>
        <v>3632.8999999999996</v>
      </c>
      <c r="K8" s="199">
        <f>I8+J8</f>
        <v>4251.5</v>
      </c>
    </row>
    <row r="9" spans="2:6" s="67" customFormat="1" ht="18.75" customHeight="1">
      <c r="B9" s="67" t="s">
        <v>507</v>
      </c>
      <c r="F9" s="291" t="s">
        <v>516</v>
      </c>
    </row>
    <row r="10" spans="1:9" s="67" customFormat="1" ht="12.75" customHeight="1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2.75" customHeight="1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2.75" customHeight="1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'[2]Ленина 68,8'!$G$39</f>
        <v>-3318.67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'[2]Ленина 68,8'!$G$40</f>
        <v>-83048.49910000003</v>
      </c>
      <c r="H15" s="62"/>
      <c r="I15" s="62"/>
    </row>
    <row r="16" s="67" customFormat="1" ht="6.75" customHeight="1"/>
    <row r="17" spans="1:7" s="74" customFormat="1" ht="52.5" customHeight="1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15" s="167" customFormat="1" ht="14.25">
      <c r="A18" s="75" t="s">
        <v>14</v>
      </c>
      <c r="B18" s="41" t="s">
        <v>15</v>
      </c>
      <c r="C18" s="135">
        <f>C19+C20+C21+C22</f>
        <v>10.34</v>
      </c>
      <c r="D18" s="76">
        <v>485705.04</v>
      </c>
      <c r="E18" s="76">
        <v>491863.91</v>
      </c>
      <c r="F18" s="76">
        <f aca="true" t="shared" si="0" ref="F18:F25">D18</f>
        <v>485705.04</v>
      </c>
      <c r="G18" s="77">
        <f>D18-E18</f>
        <v>-6158.869999999995</v>
      </c>
      <c r="H18" s="78">
        <f>C18</f>
        <v>10.34</v>
      </c>
      <c r="N18" s="166"/>
      <c r="O18" s="166"/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162527.9921083172</v>
      </c>
      <c r="E19" s="83">
        <f>E18*I19</f>
        <v>164588.8905802708</v>
      </c>
      <c r="F19" s="83">
        <f t="shared" si="0"/>
        <v>162527.9921083172</v>
      </c>
      <c r="G19" s="84">
        <f>D19-E19</f>
        <v>-2060.89847195358</v>
      </c>
      <c r="H19" s="78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79385.05972920696</v>
      </c>
      <c r="E20" s="83">
        <f>E18*I20</f>
        <v>80391.683549323</v>
      </c>
      <c r="F20" s="83">
        <f t="shared" si="0"/>
        <v>79385.05972920696</v>
      </c>
      <c r="G20" s="84">
        <f>D20-E20</f>
        <v>-1006.623820116045</v>
      </c>
      <c r="H20" s="78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100992.82746615086</v>
      </c>
      <c r="E21" s="83">
        <f>E18*I21</f>
        <v>102273.44356866537</v>
      </c>
      <c r="F21" s="83">
        <f t="shared" si="0"/>
        <v>100992.82746615086</v>
      </c>
      <c r="G21" s="84">
        <f>D21-E21</f>
        <v>-1280.616102514512</v>
      </c>
      <c r="H21" s="78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142799.16069632495</v>
      </c>
      <c r="E22" s="83">
        <f>E18*I22</f>
        <v>144609.89230174082</v>
      </c>
      <c r="F22" s="83">
        <f t="shared" si="0"/>
        <v>142799.16069632495</v>
      </c>
      <c r="G22" s="84">
        <f>D22-E22</f>
        <v>-1810.7316054158728</v>
      </c>
      <c r="H22" s="78">
        <f>C22</f>
        <v>3.04</v>
      </c>
      <c r="I22" s="67">
        <f>H22/H18</f>
        <v>0.2940038684719536</v>
      </c>
    </row>
    <row r="23" spans="1:7" s="39" customFormat="1" ht="14.25">
      <c r="A23" s="41" t="s">
        <v>25</v>
      </c>
      <c r="B23" s="41" t="s">
        <v>26</v>
      </c>
      <c r="C23" s="141">
        <v>3.86</v>
      </c>
      <c r="D23" s="77">
        <v>176487.56</v>
      </c>
      <c r="E23" s="77">
        <v>178592.49</v>
      </c>
      <c r="F23" s="76">
        <f t="shared" si="0"/>
        <v>176487.56</v>
      </c>
      <c r="G23" s="77">
        <f aca="true" t="shared" si="1" ref="G23:G34">D23-E23</f>
        <v>-2104.929999999993</v>
      </c>
    </row>
    <row r="24" spans="1:7" s="39" customFormat="1" ht="14.25">
      <c r="A24" s="41" t="s">
        <v>27</v>
      </c>
      <c r="B24" s="41" t="s">
        <v>28</v>
      </c>
      <c r="C24" s="141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s="39" customFormat="1" ht="14.25">
      <c r="A25" s="41" t="s">
        <v>29</v>
      </c>
      <c r="B25" s="41" t="s">
        <v>30</v>
      </c>
      <c r="C25" s="141">
        <v>1.12</v>
      </c>
      <c r="D25" s="77">
        <v>51210.72</v>
      </c>
      <c r="E25" s="77">
        <v>51822.92</v>
      </c>
      <c r="F25" s="77">
        <f t="shared" si="0"/>
        <v>51210.72</v>
      </c>
      <c r="G25" s="77">
        <f t="shared" si="1"/>
        <v>-612.1999999999971</v>
      </c>
    </row>
    <row r="26" spans="1:13" s="39" customFormat="1" ht="14.25">
      <c r="A26" s="41" t="s">
        <v>31</v>
      </c>
      <c r="B26" s="41" t="s">
        <v>256</v>
      </c>
      <c r="C26" s="141">
        <v>5</v>
      </c>
      <c r="D26" s="77">
        <v>183801.04</v>
      </c>
      <c r="E26" s="77">
        <v>180546.83</v>
      </c>
      <c r="F26" s="87">
        <f>F47</f>
        <v>81894.47829999999</v>
      </c>
      <c r="G26" s="77">
        <f t="shared" si="1"/>
        <v>3254.210000000021</v>
      </c>
      <c r="M26" s="181"/>
    </row>
    <row r="27" spans="1:13" s="39" customFormat="1" ht="14.25">
      <c r="A27" s="211" t="s">
        <v>191</v>
      </c>
      <c r="B27" s="86" t="s">
        <v>161</v>
      </c>
      <c r="C27" s="135" t="s">
        <v>297</v>
      </c>
      <c r="D27" s="77"/>
      <c r="E27" s="77"/>
      <c r="F27" s="87">
        <f>D27</f>
        <v>0</v>
      </c>
      <c r="G27" s="77">
        <f t="shared" si="1"/>
        <v>0</v>
      </c>
      <c r="M27" s="181"/>
    </row>
    <row r="28" spans="1:9" s="39" customFormat="1" ht="14.25">
      <c r="A28" s="41" t="s">
        <v>35</v>
      </c>
      <c r="B28" s="86" t="s">
        <v>462</v>
      </c>
      <c r="C28" s="200">
        <v>150</v>
      </c>
      <c r="D28" s="77">
        <v>102000</v>
      </c>
      <c r="E28" s="77">
        <v>97610.25</v>
      </c>
      <c r="F28" s="90">
        <f>D28</f>
        <v>102000</v>
      </c>
      <c r="G28" s="77">
        <f t="shared" si="1"/>
        <v>4389.75</v>
      </c>
      <c r="H28" s="39">
        <f>73*150</f>
        <v>10950</v>
      </c>
      <c r="I28" s="357">
        <f>D28/H28</f>
        <v>9.315068493150685</v>
      </c>
    </row>
    <row r="29" spans="1:7" s="39" customFormat="1" ht="14.25">
      <c r="A29" s="211" t="s">
        <v>192</v>
      </c>
      <c r="B29" s="41" t="s">
        <v>36</v>
      </c>
      <c r="C29" s="135"/>
      <c r="D29" s="77">
        <f>SUM(D30:D34)</f>
        <v>1836249.3</v>
      </c>
      <c r="E29" s="77">
        <f>SUM(E30:E34)</f>
        <v>1815342.7999999998</v>
      </c>
      <c r="F29" s="77">
        <f>SUM(F30:F34)</f>
        <v>1818249.3</v>
      </c>
      <c r="G29" s="77">
        <f t="shared" si="1"/>
        <v>20906.500000000233</v>
      </c>
    </row>
    <row r="30" spans="1:7" ht="15">
      <c r="A30" s="212" t="s">
        <v>194</v>
      </c>
      <c r="B30" s="34" t="s">
        <v>93</v>
      </c>
      <c r="C30" s="285">
        <v>6</v>
      </c>
      <c r="D30" s="84">
        <v>47034.3</v>
      </c>
      <c r="E30" s="84">
        <v>46952.86</v>
      </c>
      <c r="F30" s="84">
        <f>D30</f>
        <v>47034.3</v>
      </c>
      <c r="G30" s="84">
        <f t="shared" si="1"/>
        <v>81.44000000000233</v>
      </c>
    </row>
    <row r="31" spans="1:7" ht="15">
      <c r="A31" s="212" t="s">
        <v>195</v>
      </c>
      <c r="B31" s="34" t="s">
        <v>137</v>
      </c>
      <c r="C31" s="285">
        <v>57.08</v>
      </c>
      <c r="D31" s="84">
        <v>330144.71</v>
      </c>
      <c r="E31" s="84">
        <v>326886.97</v>
      </c>
      <c r="F31" s="84">
        <f>D31</f>
        <v>330144.71</v>
      </c>
      <c r="G31" s="84">
        <f t="shared" si="1"/>
        <v>3257.740000000049</v>
      </c>
    </row>
    <row r="32" spans="1:7" ht="15">
      <c r="A32" s="212" t="s">
        <v>196</v>
      </c>
      <c r="B32" s="34" t="s">
        <v>340</v>
      </c>
      <c r="C32" s="286">
        <v>211.65</v>
      </c>
      <c r="D32" s="84">
        <v>436772.12</v>
      </c>
      <c r="E32" s="84">
        <v>454873.47</v>
      </c>
      <c r="F32" s="84">
        <f>D32</f>
        <v>436772.12</v>
      </c>
      <c r="G32" s="84">
        <f t="shared" si="1"/>
        <v>-18101.349999999977</v>
      </c>
    </row>
    <row r="33" spans="1:7" ht="15">
      <c r="A33" s="212" t="s">
        <v>197</v>
      </c>
      <c r="B33" s="34" t="s">
        <v>43</v>
      </c>
      <c r="C33" s="285">
        <v>2638.8</v>
      </c>
      <c r="D33" s="84">
        <v>1004298.17</v>
      </c>
      <c r="E33" s="84">
        <v>975426.5</v>
      </c>
      <c r="F33" s="84">
        <f>D33</f>
        <v>1004298.17</v>
      </c>
      <c r="G33" s="84">
        <f>D33-E33</f>
        <v>28871.670000000042</v>
      </c>
    </row>
    <row r="34" spans="1:7" ht="15">
      <c r="A34" s="212" t="s">
        <v>390</v>
      </c>
      <c r="B34" s="336" t="s">
        <v>389</v>
      </c>
      <c r="C34" s="285"/>
      <c r="D34" s="287">
        <f>(500*12)+(500*12)+(500*12)</f>
        <v>18000</v>
      </c>
      <c r="E34" s="287">
        <v>11203</v>
      </c>
      <c r="F34" s="287"/>
      <c r="G34" s="287">
        <f t="shared" si="1"/>
        <v>6797</v>
      </c>
    </row>
    <row r="35" spans="1:10" s="102" customFormat="1" ht="16.5" customHeight="1">
      <c r="A35" s="104"/>
      <c r="B35" s="104"/>
      <c r="C35" s="487" t="s">
        <v>557</v>
      </c>
      <c r="D35" s="488"/>
      <c r="E35" s="488"/>
      <c r="F35" s="488"/>
      <c r="G35" s="424">
        <f>E34-(E34*15%)</f>
        <v>9522.55</v>
      </c>
      <c r="H35" s="101"/>
      <c r="I35" s="101"/>
      <c r="J35" s="101"/>
    </row>
    <row r="36" spans="1:10" s="102" customFormat="1" ht="16.5" customHeight="1" thickBot="1">
      <c r="A36" s="446" t="s">
        <v>294</v>
      </c>
      <c r="B36" s="447"/>
      <c r="C36" s="447"/>
      <c r="D36" s="448"/>
      <c r="E36" s="448"/>
      <c r="F36" s="448"/>
      <c r="G36" s="101"/>
      <c r="H36" s="101"/>
      <c r="I36" s="101"/>
      <c r="J36" s="101"/>
    </row>
    <row r="37" spans="1:9" s="67" customFormat="1" ht="15.75" thickBot="1">
      <c r="A37" s="455" t="s">
        <v>413</v>
      </c>
      <c r="B37" s="456"/>
      <c r="C37" s="456"/>
      <c r="D37" s="65">
        <v>566256.01</v>
      </c>
      <c r="E37" s="66"/>
      <c r="F37" s="66"/>
      <c r="G37" s="66"/>
      <c r="H37" s="62"/>
      <c r="I37" s="62"/>
    </row>
    <row r="38" spans="1:9" s="67" customFormat="1" ht="4.5" customHeight="1" thickBot="1">
      <c r="A38" s="68"/>
      <c r="B38" s="68"/>
      <c r="C38" s="68"/>
      <c r="D38" s="40"/>
      <c r="E38" s="66"/>
      <c r="F38" s="66"/>
      <c r="G38" s="66"/>
      <c r="H38" s="62"/>
      <c r="I38" s="62"/>
    </row>
    <row r="39" spans="1:9" s="67" customFormat="1" ht="15.75" thickBot="1">
      <c r="A39" s="63" t="s">
        <v>414</v>
      </c>
      <c r="B39" s="64"/>
      <c r="C39" s="64"/>
      <c r="D39" s="69"/>
      <c r="E39" s="70"/>
      <c r="F39" s="70"/>
      <c r="G39" s="144">
        <f>G14</f>
        <v>-3318.67</v>
      </c>
      <c r="H39" s="62"/>
      <c r="I39" s="62"/>
    </row>
    <row r="40" spans="1:13" s="67" customFormat="1" ht="15.75" thickBot="1">
      <c r="A40" s="63" t="s">
        <v>415</v>
      </c>
      <c r="B40" s="64"/>
      <c r="C40" s="64"/>
      <c r="D40" s="69"/>
      <c r="E40" s="70"/>
      <c r="F40" s="70"/>
      <c r="G40" s="144">
        <f>G15+E26-F26</f>
        <v>15603.85259999997</v>
      </c>
      <c r="H40" s="62"/>
      <c r="I40" s="62"/>
      <c r="M40" s="145"/>
    </row>
    <row r="41" spans="1:13" s="67" customFormat="1" ht="15">
      <c r="A41" s="516" t="s">
        <v>144</v>
      </c>
      <c r="B41" s="516"/>
      <c r="C41" s="68"/>
      <c r="D41" s="40"/>
      <c r="E41" s="66"/>
      <c r="F41" s="66"/>
      <c r="G41" s="40"/>
      <c r="H41" s="62"/>
      <c r="I41" s="62"/>
      <c r="M41" s="145"/>
    </row>
    <row r="42" spans="1:13" s="67" customFormat="1" ht="15">
      <c r="A42" s="517" t="s">
        <v>145</v>
      </c>
      <c r="B42" s="518"/>
      <c r="C42" s="311" t="s">
        <v>146</v>
      </c>
      <c r="D42" s="311" t="s">
        <v>147</v>
      </c>
      <c r="E42" s="312" t="s">
        <v>148</v>
      </c>
      <c r="F42" s="313" t="s">
        <v>149</v>
      </c>
      <c r="G42" s="312" t="s">
        <v>150</v>
      </c>
      <c r="H42" s="62"/>
      <c r="I42" s="62"/>
      <c r="M42" s="145"/>
    </row>
    <row r="43" spans="1:9" s="67" customFormat="1" ht="15">
      <c r="A43" s="519"/>
      <c r="B43" s="520"/>
      <c r="C43" s="294">
        <f>236+206</f>
        <v>442</v>
      </c>
      <c r="D43" s="314">
        <f>E43/C43/12</f>
        <v>22.84</v>
      </c>
      <c r="E43" s="309">
        <f>121143.36</f>
        <v>121143.36</v>
      </c>
      <c r="F43" s="315">
        <v>60000</v>
      </c>
      <c r="G43" s="314">
        <f>E43-F43</f>
        <v>61143.36</v>
      </c>
      <c r="H43" s="62"/>
      <c r="I43" s="62"/>
    </row>
    <row r="44" spans="1:9" ht="27.75" customHeight="1">
      <c r="A44" s="537" t="s">
        <v>44</v>
      </c>
      <c r="B44" s="537"/>
      <c r="C44" s="537"/>
      <c r="D44" s="537"/>
      <c r="E44" s="537"/>
      <c r="F44" s="537"/>
      <c r="G44" s="537"/>
      <c r="H44" s="537"/>
      <c r="I44" s="537"/>
    </row>
    <row r="45" ht="3" customHeight="1"/>
    <row r="46" spans="1:7" s="171" customFormat="1" ht="28.5" customHeight="1">
      <c r="A46" s="105" t="s">
        <v>11</v>
      </c>
      <c r="B46" s="471" t="s">
        <v>45</v>
      </c>
      <c r="C46" s="484"/>
      <c r="D46" s="105" t="s">
        <v>163</v>
      </c>
      <c r="E46" s="105" t="s">
        <v>162</v>
      </c>
      <c r="F46" s="471" t="s">
        <v>46</v>
      </c>
      <c r="G46" s="484"/>
    </row>
    <row r="47" spans="1:7" s="114" customFormat="1" ht="12.75" customHeight="1">
      <c r="A47" s="109" t="s">
        <v>47</v>
      </c>
      <c r="B47" s="473" t="s">
        <v>111</v>
      </c>
      <c r="C47" s="491"/>
      <c r="D47" s="110"/>
      <c r="E47" s="110"/>
      <c r="F47" s="496">
        <f>SUM(F48:L62)</f>
        <v>81894.47829999999</v>
      </c>
      <c r="G47" s="483"/>
    </row>
    <row r="48" spans="1:7" ht="30" customHeight="1">
      <c r="A48" s="34" t="s">
        <v>16</v>
      </c>
      <c r="B48" s="462" t="s">
        <v>326</v>
      </c>
      <c r="C48" s="489"/>
      <c r="D48" s="337"/>
      <c r="E48" s="337" t="s">
        <v>221</v>
      </c>
      <c r="F48" s="525">
        <v>11980</v>
      </c>
      <c r="G48" s="526"/>
    </row>
    <row r="49" spans="1:7" ht="26.25" customHeight="1">
      <c r="A49" s="34" t="s">
        <v>18</v>
      </c>
      <c r="B49" s="462" t="s">
        <v>326</v>
      </c>
      <c r="C49" s="489"/>
      <c r="D49" s="403"/>
      <c r="E49" s="403" t="s">
        <v>221</v>
      </c>
      <c r="F49" s="497">
        <v>300</v>
      </c>
      <c r="G49" s="497"/>
    </row>
    <row r="50" spans="1:7" ht="29.25" customHeight="1">
      <c r="A50" s="34" t="s">
        <v>20</v>
      </c>
      <c r="B50" s="462" t="s">
        <v>326</v>
      </c>
      <c r="C50" s="489"/>
      <c r="D50" s="403"/>
      <c r="E50" s="403" t="s">
        <v>221</v>
      </c>
      <c r="F50" s="497">
        <v>1990</v>
      </c>
      <c r="G50" s="497"/>
    </row>
    <row r="51" spans="1:7" ht="30.75" customHeight="1">
      <c r="A51" s="34" t="s">
        <v>22</v>
      </c>
      <c r="B51" s="462" t="s">
        <v>326</v>
      </c>
      <c r="C51" s="489"/>
      <c r="D51" s="403"/>
      <c r="E51" s="403" t="s">
        <v>221</v>
      </c>
      <c r="F51" s="497">
        <v>2250</v>
      </c>
      <c r="G51" s="497"/>
    </row>
    <row r="52" spans="1:7" ht="12.75" customHeight="1">
      <c r="A52" s="34" t="s">
        <v>24</v>
      </c>
      <c r="B52" s="462" t="s">
        <v>596</v>
      </c>
      <c r="C52" s="489"/>
      <c r="D52" s="403" t="s">
        <v>217</v>
      </c>
      <c r="E52" s="403">
        <v>0.04</v>
      </c>
      <c r="F52" s="497">
        <v>9173.5</v>
      </c>
      <c r="G52" s="497"/>
    </row>
    <row r="53" spans="1:7" ht="12.75" customHeight="1">
      <c r="A53" s="34" t="s">
        <v>103</v>
      </c>
      <c r="B53" s="462" t="s">
        <v>597</v>
      </c>
      <c r="C53" s="489"/>
      <c r="D53" s="403" t="s">
        <v>164</v>
      </c>
      <c r="E53" s="403">
        <v>1</v>
      </c>
      <c r="F53" s="497">
        <v>1200</v>
      </c>
      <c r="G53" s="497"/>
    </row>
    <row r="54" spans="1:7" ht="12.75" customHeight="1">
      <c r="A54" s="34" t="s">
        <v>104</v>
      </c>
      <c r="B54" s="462" t="s">
        <v>598</v>
      </c>
      <c r="C54" s="489"/>
      <c r="D54" s="403" t="s">
        <v>164</v>
      </c>
      <c r="E54" s="405">
        <v>1</v>
      </c>
      <c r="F54" s="525">
        <v>8900</v>
      </c>
      <c r="G54" s="526"/>
    </row>
    <row r="55" spans="1:7" ht="12.75" customHeight="1">
      <c r="A55" s="34" t="s">
        <v>117</v>
      </c>
      <c r="B55" s="462" t="s">
        <v>599</v>
      </c>
      <c r="C55" s="489"/>
      <c r="D55" s="403" t="s">
        <v>164</v>
      </c>
      <c r="E55" s="403">
        <v>1</v>
      </c>
      <c r="F55" s="525">
        <v>7300</v>
      </c>
      <c r="G55" s="526"/>
    </row>
    <row r="56" spans="1:7" ht="12.75" customHeight="1">
      <c r="A56" s="34" t="s">
        <v>118</v>
      </c>
      <c r="B56" s="462" t="s">
        <v>600</v>
      </c>
      <c r="C56" s="489"/>
      <c r="D56" s="403" t="s">
        <v>164</v>
      </c>
      <c r="E56" s="405">
        <v>1</v>
      </c>
      <c r="F56" s="525">
        <v>830</v>
      </c>
      <c r="G56" s="526"/>
    </row>
    <row r="57" spans="1:7" ht="12.75" customHeight="1">
      <c r="A57" s="34" t="s">
        <v>119</v>
      </c>
      <c r="B57" s="462" t="s">
        <v>562</v>
      </c>
      <c r="C57" s="498"/>
      <c r="D57" s="403" t="s">
        <v>166</v>
      </c>
      <c r="E57" s="406">
        <v>600</v>
      </c>
      <c r="F57" s="482">
        <v>5220</v>
      </c>
      <c r="G57" s="482"/>
    </row>
    <row r="58" spans="1:7" ht="12.75" customHeight="1">
      <c r="A58" s="34" t="s">
        <v>139</v>
      </c>
      <c r="B58" s="462" t="s">
        <v>241</v>
      </c>
      <c r="C58" s="498"/>
      <c r="D58" s="403" t="s">
        <v>593</v>
      </c>
      <c r="E58" s="406">
        <v>0.02</v>
      </c>
      <c r="F58" s="482">
        <v>2235.24</v>
      </c>
      <c r="G58" s="482"/>
    </row>
    <row r="59" spans="1:7" ht="12.75" customHeight="1">
      <c r="A59" s="34" t="s">
        <v>141</v>
      </c>
      <c r="B59" s="462" t="s">
        <v>168</v>
      </c>
      <c r="C59" s="498"/>
      <c r="D59" s="403"/>
      <c r="E59" s="406"/>
      <c r="F59" s="482">
        <v>18000</v>
      </c>
      <c r="G59" s="482"/>
    </row>
    <row r="60" spans="1:7" ht="12.75" customHeight="1">
      <c r="A60" s="34" t="s">
        <v>142</v>
      </c>
      <c r="B60" s="462" t="s">
        <v>560</v>
      </c>
      <c r="C60" s="498"/>
      <c r="D60" s="403" t="s">
        <v>216</v>
      </c>
      <c r="E60" s="406">
        <v>0.06</v>
      </c>
      <c r="F60" s="482">
        <v>6710.27</v>
      </c>
      <c r="G60" s="482"/>
    </row>
    <row r="61" spans="1:7" ht="12.75" customHeight="1">
      <c r="A61" s="34" t="s">
        <v>257</v>
      </c>
      <c r="B61" s="116" t="s">
        <v>827</v>
      </c>
      <c r="C61" s="333"/>
      <c r="D61" s="118"/>
      <c r="E61" s="152"/>
      <c r="F61" s="490">
        <v>4000</v>
      </c>
      <c r="G61" s="490"/>
    </row>
    <row r="62" spans="1:7" ht="12.75" customHeight="1">
      <c r="A62" s="34" t="s">
        <v>281</v>
      </c>
      <c r="B62" s="148" t="s">
        <v>188</v>
      </c>
      <c r="C62" s="149"/>
      <c r="D62" s="118"/>
      <c r="E62" s="118"/>
      <c r="F62" s="495">
        <f>E26*1%</f>
        <v>1805.4683</v>
      </c>
      <c r="G62" s="495"/>
    </row>
    <row r="63" spans="1:7" ht="12.75" customHeight="1">
      <c r="A63" s="67"/>
      <c r="B63" s="67"/>
      <c r="C63" s="67"/>
      <c r="D63" s="67"/>
      <c r="E63" s="67"/>
      <c r="F63" s="67"/>
      <c r="G63" s="67"/>
    </row>
    <row r="64" spans="1:7" ht="12.75" customHeight="1">
      <c r="A64" s="67" t="s">
        <v>55</v>
      </c>
      <c r="B64" s="67"/>
      <c r="C64" s="67" t="s">
        <v>49</v>
      </c>
      <c r="D64" s="67"/>
      <c r="E64" s="67"/>
      <c r="F64" s="67" t="s">
        <v>90</v>
      </c>
      <c r="G64" s="67"/>
    </row>
    <row r="65" spans="1:7" ht="12.75" customHeight="1">
      <c r="A65" s="67"/>
      <c r="B65" s="67"/>
      <c r="C65" s="67"/>
      <c r="D65" s="67"/>
      <c r="E65" s="67"/>
      <c r="F65" s="126" t="s">
        <v>545</v>
      </c>
      <c r="G65" s="67"/>
    </row>
    <row r="66" s="67" customFormat="1" ht="15">
      <c r="A66" s="67" t="s">
        <v>50</v>
      </c>
    </row>
    <row r="67" spans="3:7" s="67" customFormat="1" ht="15">
      <c r="C67" s="128" t="s">
        <v>51</v>
      </c>
      <c r="E67" s="128"/>
      <c r="F67" s="128"/>
      <c r="G67" s="128"/>
    </row>
    <row r="68" spans="1:7" ht="15">
      <c r="A68" s="67"/>
      <c r="B68" s="67"/>
      <c r="C68" s="67"/>
      <c r="D68" s="67"/>
      <c r="E68" s="67"/>
      <c r="F68" s="67"/>
      <c r="G68" s="67"/>
    </row>
    <row r="69" spans="1:7" ht="15">
      <c r="A69" s="67"/>
      <c r="B69" s="67"/>
      <c r="C69" s="67"/>
      <c r="D69" s="67"/>
      <c r="E69" s="67"/>
      <c r="F69" s="67"/>
      <c r="G69" s="67"/>
    </row>
  </sheetData>
  <sheetProtection/>
  <mergeCells count="45">
    <mergeCell ref="B46:C46"/>
    <mergeCell ref="F48:G48"/>
    <mergeCell ref="F47:G47"/>
    <mergeCell ref="F49:G49"/>
    <mergeCell ref="F56:G56"/>
    <mergeCell ref="F59:G59"/>
    <mergeCell ref="B51:C51"/>
    <mergeCell ref="B52:C52"/>
    <mergeCell ref="B49:C49"/>
    <mergeCell ref="A12:I12"/>
    <mergeCell ref="A44:I44"/>
    <mergeCell ref="A37:C37"/>
    <mergeCell ref="F55:G55"/>
    <mergeCell ref="B48:C48"/>
    <mergeCell ref="B47:C47"/>
    <mergeCell ref="A41:B41"/>
    <mergeCell ref="A42:B43"/>
    <mergeCell ref="C35:F35"/>
    <mergeCell ref="B50:C50"/>
    <mergeCell ref="A1:I1"/>
    <mergeCell ref="A2:I2"/>
    <mergeCell ref="A5:I5"/>
    <mergeCell ref="A10:I10"/>
    <mergeCell ref="A11:I11"/>
    <mergeCell ref="B57:C57"/>
    <mergeCell ref="A36:F36"/>
    <mergeCell ref="A3:K3"/>
    <mergeCell ref="F46:G46"/>
    <mergeCell ref="F57:G57"/>
    <mergeCell ref="F62:G62"/>
    <mergeCell ref="F54:G54"/>
    <mergeCell ref="B54:C54"/>
    <mergeCell ref="B55:C55"/>
    <mergeCell ref="B56:C56"/>
    <mergeCell ref="F58:G58"/>
    <mergeCell ref="B58:C58"/>
    <mergeCell ref="F61:G61"/>
    <mergeCell ref="B59:C59"/>
    <mergeCell ref="B60:C60"/>
    <mergeCell ref="F60:G60"/>
    <mergeCell ref="F50:G50"/>
    <mergeCell ref="F51:G51"/>
    <mergeCell ref="F52:G52"/>
    <mergeCell ref="F53:G53"/>
    <mergeCell ref="B53:C53"/>
  </mergeCells>
  <printOptions/>
  <pageMargins left="0" right="0" top="0" bottom="0" header="0.31496062992125984" footer="0.3149606299212598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K51"/>
  <sheetViews>
    <sheetView zoomScalePageLayoutView="0" workbookViewId="0" topLeftCell="A33">
      <selection activeCell="G38" sqref="G38"/>
    </sheetView>
  </sheetViews>
  <sheetFormatPr defaultColWidth="9.140625" defaultRowHeight="15" outlineLevelCol="1"/>
  <cols>
    <col min="1" max="1" width="5.57421875" style="35" customWidth="1"/>
    <col min="2" max="2" width="40.28125" style="35" bestFit="1" customWidth="1"/>
    <col min="3" max="3" width="13.7109375" style="35" customWidth="1"/>
    <col min="4" max="4" width="13.421875" style="35" customWidth="1"/>
    <col min="5" max="5" width="13.00390625" style="35" customWidth="1"/>
    <col min="6" max="6" width="12.710937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6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18.7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6.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7" spans="1:6" s="67" customFormat="1" ht="16.5" customHeight="1">
      <c r="A7" s="67" t="s">
        <v>2</v>
      </c>
      <c r="F7" s="126" t="s">
        <v>120</v>
      </c>
    </row>
    <row r="8" spans="1:9" s="67" customFormat="1" ht="15">
      <c r="A8" s="67" t="s">
        <v>3</v>
      </c>
      <c r="F8" s="126" t="s">
        <v>262</v>
      </c>
      <c r="I8" s="199" t="s">
        <v>503</v>
      </c>
    </row>
    <row r="9" s="67" customFormat="1" ht="15"/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414</v>
      </c>
      <c r="B14" s="64"/>
      <c r="C14" s="64"/>
      <c r="D14" s="69"/>
      <c r="E14" s="70"/>
      <c r="F14" s="70"/>
      <c r="G14" s="280">
        <f>'[2] Пионерская 1318 кв.51-64'!$G$35</f>
        <v>0</v>
      </c>
      <c r="H14" s="62"/>
      <c r="I14" s="62"/>
    </row>
    <row r="15" spans="1:9" s="67" customFormat="1" ht="15.75" thickBot="1">
      <c r="A15" s="63" t="s">
        <v>415</v>
      </c>
      <c r="B15" s="64"/>
      <c r="C15" s="64"/>
      <c r="D15" s="69"/>
      <c r="E15" s="70"/>
      <c r="F15" s="70"/>
      <c r="G15" s="280">
        <f>'[2] Пионерская 1318 кв.51-64'!$G$36</f>
        <v>-21365.056675</v>
      </c>
      <c r="H15" s="62"/>
      <c r="I15" s="62"/>
    </row>
    <row r="16" s="67" customFormat="1" ht="8.25" customHeight="1"/>
    <row r="17" spans="1:8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  <c r="H17" s="72"/>
    </row>
    <row r="18" spans="1:8" s="167" customFormat="1" ht="14.25">
      <c r="A18" s="75" t="s">
        <v>14</v>
      </c>
      <c r="B18" s="134" t="s">
        <v>15</v>
      </c>
      <c r="C18" s="135">
        <f>C19+C20+C21+C22</f>
        <v>9.879999999999999</v>
      </c>
      <c r="D18" s="76">
        <v>106514.04</v>
      </c>
      <c r="E18" s="76">
        <v>108864.45</v>
      </c>
      <c r="F18" s="76">
        <f aca="true" t="shared" si="0" ref="F18:F23">D18</f>
        <v>106514.04</v>
      </c>
      <c r="G18" s="77">
        <f>D18-E18</f>
        <v>-2350.4100000000035</v>
      </c>
      <c r="H18" s="166">
        <f aca="true" t="shared" si="1" ref="H18:H23">C18</f>
        <v>9.879999999999999</v>
      </c>
    </row>
    <row r="19" spans="1:9" s="67" customFormat="1" ht="15">
      <c r="A19" s="81" t="s">
        <v>16</v>
      </c>
      <c r="B19" s="139" t="s">
        <v>17</v>
      </c>
      <c r="C19" s="99">
        <v>3.46</v>
      </c>
      <c r="D19" s="83">
        <f>D18*I19</f>
        <v>37301.47554655871</v>
      </c>
      <c r="E19" s="83">
        <f>E18*I19</f>
        <v>38124.594838056684</v>
      </c>
      <c r="F19" s="83">
        <f t="shared" si="0"/>
        <v>37301.47554655871</v>
      </c>
      <c r="G19" s="84">
        <f aca="true" t="shared" si="2" ref="G19:G32">D19-E19</f>
        <v>-823.1192914979765</v>
      </c>
      <c r="H19" s="145">
        <f t="shared" si="1"/>
        <v>3.46</v>
      </c>
      <c r="I19" s="67">
        <f>H19/H18</f>
        <v>0.3502024291497976</v>
      </c>
    </row>
    <row r="20" spans="1:9" s="67" customFormat="1" ht="15">
      <c r="A20" s="81" t="s">
        <v>18</v>
      </c>
      <c r="B20" s="139" t="s">
        <v>19</v>
      </c>
      <c r="C20" s="99">
        <v>1.69</v>
      </c>
      <c r="D20" s="83">
        <f>D18*I20</f>
        <v>18219.506842105264</v>
      </c>
      <c r="E20" s="83">
        <f>E18*I20</f>
        <v>18621.550657894735</v>
      </c>
      <c r="F20" s="83">
        <f t="shared" si="0"/>
        <v>18219.506842105264</v>
      </c>
      <c r="G20" s="84">
        <f t="shared" si="2"/>
        <v>-402.0438157894714</v>
      </c>
      <c r="H20" s="145">
        <f t="shared" si="1"/>
        <v>1.69</v>
      </c>
      <c r="I20" s="67">
        <f>H20/H18</f>
        <v>0.17105263157894737</v>
      </c>
    </row>
    <row r="21" spans="1:9" s="67" customFormat="1" ht="15">
      <c r="A21" s="81" t="s">
        <v>20</v>
      </c>
      <c r="B21" s="139" t="s">
        <v>21</v>
      </c>
      <c r="C21" s="99">
        <v>1.69</v>
      </c>
      <c r="D21" s="83">
        <f>D18*I21</f>
        <v>18219.506842105264</v>
      </c>
      <c r="E21" s="83">
        <f>E18*I21</f>
        <v>18621.550657894735</v>
      </c>
      <c r="F21" s="83">
        <f t="shared" si="0"/>
        <v>18219.506842105264</v>
      </c>
      <c r="G21" s="84">
        <f t="shared" si="2"/>
        <v>-402.0438157894714</v>
      </c>
      <c r="H21" s="145">
        <f t="shared" si="1"/>
        <v>1.69</v>
      </c>
      <c r="I21" s="67">
        <f>H21/H18</f>
        <v>0.17105263157894737</v>
      </c>
    </row>
    <row r="22" spans="1:9" s="67" customFormat="1" ht="15">
      <c r="A22" s="81" t="s">
        <v>22</v>
      </c>
      <c r="B22" s="139" t="s">
        <v>23</v>
      </c>
      <c r="C22" s="99">
        <v>3.04</v>
      </c>
      <c r="D22" s="83">
        <f>D18*I22</f>
        <v>32773.550769230766</v>
      </c>
      <c r="E22" s="83">
        <f>E18*I22</f>
        <v>33496.75384615385</v>
      </c>
      <c r="F22" s="83">
        <f t="shared" si="0"/>
        <v>32773.550769230766</v>
      </c>
      <c r="G22" s="84">
        <f t="shared" si="2"/>
        <v>-723.2030769230842</v>
      </c>
      <c r="H22" s="145">
        <f t="shared" si="1"/>
        <v>3.04</v>
      </c>
      <c r="I22" s="67">
        <f>H22/H18</f>
        <v>0.3076923076923077</v>
      </c>
    </row>
    <row r="23" spans="1:8" s="67" customFormat="1" ht="15">
      <c r="A23" s="81" t="s">
        <v>25</v>
      </c>
      <c r="B23" s="86" t="s">
        <v>462</v>
      </c>
      <c r="C23" s="99">
        <v>120</v>
      </c>
      <c r="D23" s="83">
        <v>20160</v>
      </c>
      <c r="E23" s="83">
        <v>19696.58</v>
      </c>
      <c r="F23" s="83">
        <f t="shared" si="0"/>
        <v>20160</v>
      </c>
      <c r="G23" s="84">
        <f t="shared" si="2"/>
        <v>463.41999999999825</v>
      </c>
      <c r="H23" s="145">
        <f t="shared" si="1"/>
        <v>120</v>
      </c>
    </row>
    <row r="24" spans="1:7" s="39" customFormat="1" ht="14.25">
      <c r="A24" s="41" t="s">
        <v>27</v>
      </c>
      <c r="B24" s="140" t="s">
        <v>28</v>
      </c>
      <c r="C24" s="141">
        <v>0</v>
      </c>
      <c r="D24" s="77">
        <v>0</v>
      </c>
      <c r="E24" s="77">
        <v>0</v>
      </c>
      <c r="F24" s="77">
        <v>0</v>
      </c>
      <c r="G24" s="77">
        <f t="shared" si="2"/>
        <v>0</v>
      </c>
    </row>
    <row r="25" spans="1:7" s="39" customFormat="1" ht="14.25">
      <c r="A25" s="41" t="s">
        <v>29</v>
      </c>
      <c r="B25" s="140" t="s">
        <v>161</v>
      </c>
      <c r="C25" s="141">
        <v>0</v>
      </c>
      <c r="D25" s="77">
        <v>0</v>
      </c>
      <c r="E25" s="77">
        <v>0</v>
      </c>
      <c r="F25" s="77">
        <f>D25</f>
        <v>0</v>
      </c>
      <c r="G25" s="77">
        <f t="shared" si="2"/>
        <v>0</v>
      </c>
    </row>
    <row r="26" spans="1:7" s="39" customFormat="1" ht="14.25">
      <c r="A26" s="41" t="s">
        <v>31</v>
      </c>
      <c r="B26" s="140" t="s">
        <v>116</v>
      </c>
      <c r="C26" s="141">
        <v>1.86</v>
      </c>
      <c r="D26" s="77">
        <v>20052.24</v>
      </c>
      <c r="E26" s="77">
        <v>20494.72</v>
      </c>
      <c r="F26" s="87">
        <f>F43</f>
        <v>204.9472</v>
      </c>
      <c r="G26" s="77">
        <f t="shared" si="2"/>
        <v>-442.47999999999956</v>
      </c>
    </row>
    <row r="27" spans="1:7" s="39" customFormat="1" ht="14.25">
      <c r="A27" s="41" t="s">
        <v>33</v>
      </c>
      <c r="B27" s="134" t="s">
        <v>34</v>
      </c>
      <c r="C27" s="135">
        <v>0</v>
      </c>
      <c r="D27" s="77">
        <v>0</v>
      </c>
      <c r="E27" s="77">
        <v>0</v>
      </c>
      <c r="F27" s="87">
        <f>D27</f>
        <v>0</v>
      </c>
      <c r="G27" s="77">
        <f t="shared" si="2"/>
        <v>0</v>
      </c>
    </row>
    <row r="28" spans="1:7" s="39" customFormat="1" ht="14.25">
      <c r="A28" s="41" t="s">
        <v>35</v>
      </c>
      <c r="B28" s="134" t="s">
        <v>36</v>
      </c>
      <c r="C28" s="135"/>
      <c r="D28" s="77">
        <f>SUM(D29:D32)</f>
        <v>487442.82999999996</v>
      </c>
      <c r="E28" s="77">
        <f>SUM(E29:E32)</f>
        <v>499980.5</v>
      </c>
      <c r="F28" s="77">
        <f>SUM(F29:F32)</f>
        <v>487442.82999999996</v>
      </c>
      <c r="G28" s="77">
        <f t="shared" si="2"/>
        <v>-12537.670000000042</v>
      </c>
    </row>
    <row r="29" spans="1:7" ht="15">
      <c r="A29" s="34" t="s">
        <v>37</v>
      </c>
      <c r="B29" s="34" t="s">
        <v>165</v>
      </c>
      <c r="C29" s="285">
        <v>6</v>
      </c>
      <c r="D29" s="287">
        <v>16777.92</v>
      </c>
      <c r="E29" s="287">
        <v>17103.68</v>
      </c>
      <c r="F29" s="289">
        <f>D29</f>
        <v>16777.92</v>
      </c>
      <c r="G29" s="84">
        <f t="shared" si="2"/>
        <v>-325.76000000000204</v>
      </c>
    </row>
    <row r="30" spans="1:7" ht="15">
      <c r="A30" s="34" t="s">
        <v>39</v>
      </c>
      <c r="B30" s="34" t="s">
        <v>137</v>
      </c>
      <c r="C30" s="285">
        <v>57.08</v>
      </c>
      <c r="D30" s="287">
        <v>79025.48</v>
      </c>
      <c r="E30" s="287">
        <v>81464.57</v>
      </c>
      <c r="F30" s="289">
        <f>D30</f>
        <v>79025.48</v>
      </c>
      <c r="G30" s="84">
        <f t="shared" si="2"/>
        <v>-2439.090000000011</v>
      </c>
    </row>
    <row r="31" spans="1:7" ht="15">
      <c r="A31" s="34" t="s">
        <v>42</v>
      </c>
      <c r="B31" s="139" t="s">
        <v>340</v>
      </c>
      <c r="C31" s="286">
        <v>0</v>
      </c>
      <c r="D31" s="287">
        <v>0</v>
      </c>
      <c r="E31" s="287">
        <v>0</v>
      </c>
      <c r="F31" s="289">
        <f>D31</f>
        <v>0</v>
      </c>
      <c r="G31" s="84">
        <f t="shared" si="2"/>
        <v>0</v>
      </c>
    </row>
    <row r="32" spans="1:7" ht="15">
      <c r="A32" s="34" t="s">
        <v>41</v>
      </c>
      <c r="B32" s="34" t="s">
        <v>43</v>
      </c>
      <c r="C32" s="285">
        <v>2638.8</v>
      </c>
      <c r="D32" s="287">
        <v>391639.43</v>
      </c>
      <c r="E32" s="287">
        <v>401412.25</v>
      </c>
      <c r="F32" s="289">
        <f>D32</f>
        <v>391639.43</v>
      </c>
      <c r="G32" s="84">
        <f t="shared" si="2"/>
        <v>-9772.820000000007</v>
      </c>
    </row>
    <row r="33" spans="1:7" ht="15">
      <c r="A33" s="41" t="s">
        <v>192</v>
      </c>
      <c r="B33" s="327" t="s">
        <v>272</v>
      </c>
      <c r="C33" s="99"/>
      <c r="D33" s="287">
        <v>6562</v>
      </c>
      <c r="E33" s="287">
        <v>3347</v>
      </c>
      <c r="F33" s="289">
        <v>0</v>
      </c>
      <c r="G33" s="287">
        <f>D33-E33</f>
        <v>3215</v>
      </c>
    </row>
    <row r="34" spans="1:7" ht="15.75" thickBot="1">
      <c r="A34" s="398"/>
      <c r="B34" s="397"/>
      <c r="C34" s="487" t="s">
        <v>557</v>
      </c>
      <c r="D34" s="488"/>
      <c r="E34" s="488"/>
      <c r="F34" s="488"/>
      <c r="G34" s="424">
        <f>E33-(E33*15%)</f>
        <v>2844.95</v>
      </c>
    </row>
    <row r="35" spans="1:9" s="67" customFormat="1" ht="15.75" thickBot="1">
      <c r="A35" s="455" t="s">
        <v>413</v>
      </c>
      <c r="B35" s="456"/>
      <c r="C35" s="480"/>
      <c r="D35" s="271">
        <v>97653.12</v>
      </c>
      <c r="E35" s="66"/>
      <c r="F35" s="66"/>
      <c r="G35" s="66"/>
      <c r="H35" s="62"/>
      <c r="I35" s="62"/>
    </row>
    <row r="36" spans="1:9" s="67" customFormat="1" ht="6" customHeight="1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414</v>
      </c>
      <c r="B37" s="64"/>
      <c r="C37" s="64"/>
      <c r="D37" s="69"/>
      <c r="E37" s="70"/>
      <c r="F37" s="70"/>
      <c r="G37" s="280">
        <f>G14+E27-F27</f>
        <v>0</v>
      </c>
      <c r="H37" s="62"/>
      <c r="I37" s="62"/>
    </row>
    <row r="38" spans="1:9" s="67" customFormat="1" ht="15.75" thickBot="1">
      <c r="A38" s="63" t="s">
        <v>415</v>
      </c>
      <c r="B38" s="64"/>
      <c r="C38" s="64"/>
      <c r="D38" s="69"/>
      <c r="E38" s="70"/>
      <c r="F38" s="70"/>
      <c r="G38" s="280">
        <f>G15+E26-F26</f>
        <v>-1075.2838749999987</v>
      </c>
      <c r="H38" s="62"/>
      <c r="I38" s="62"/>
    </row>
    <row r="39" spans="1:9" s="67" customFormat="1" ht="15">
      <c r="A39" s="68"/>
      <c r="B39" s="68"/>
      <c r="C39" s="68"/>
      <c r="D39" s="40"/>
      <c r="E39" s="66"/>
      <c r="F39" s="66"/>
      <c r="G39" s="40"/>
      <c r="H39" s="62"/>
      <c r="I39" s="62"/>
    </row>
    <row r="40" spans="1:9" ht="33.75" customHeight="1">
      <c r="A40" s="444" t="s">
        <v>44</v>
      </c>
      <c r="B40" s="481"/>
      <c r="C40" s="481"/>
      <c r="D40" s="481"/>
      <c r="E40" s="481"/>
      <c r="F40" s="481"/>
      <c r="G40" s="481"/>
      <c r="H40" s="58"/>
      <c r="I40" s="58"/>
    </row>
    <row r="42" spans="1:7" s="171" customFormat="1" ht="28.5" customHeight="1">
      <c r="A42" s="105" t="s">
        <v>11</v>
      </c>
      <c r="B42" s="471" t="s">
        <v>45</v>
      </c>
      <c r="C42" s="484"/>
      <c r="D42" s="105" t="s">
        <v>163</v>
      </c>
      <c r="E42" s="105" t="s">
        <v>162</v>
      </c>
      <c r="F42" s="471" t="s">
        <v>46</v>
      </c>
      <c r="G42" s="483"/>
    </row>
    <row r="43" spans="1:7" s="114" customFormat="1" ht="15" customHeight="1">
      <c r="A43" s="109" t="s">
        <v>47</v>
      </c>
      <c r="B43" s="473" t="s">
        <v>111</v>
      </c>
      <c r="C43" s="491"/>
      <c r="D43" s="281"/>
      <c r="E43" s="281"/>
      <c r="F43" s="485">
        <f>SUM(F44:G46)</f>
        <v>204.9472</v>
      </c>
      <c r="G43" s="486"/>
    </row>
    <row r="44" spans="1:7" ht="15">
      <c r="A44" s="34" t="s">
        <v>16</v>
      </c>
      <c r="B44" s="462"/>
      <c r="C44" s="489"/>
      <c r="D44" s="337"/>
      <c r="E44" s="342"/>
      <c r="F44" s="482"/>
      <c r="G44" s="482"/>
    </row>
    <row r="45" spans="1:7" ht="15.75" customHeight="1">
      <c r="A45" s="34" t="s">
        <v>18</v>
      </c>
      <c r="B45" s="493"/>
      <c r="C45" s="494"/>
      <c r="D45" s="338"/>
      <c r="E45" s="340"/>
      <c r="F45" s="482"/>
      <c r="G45" s="482"/>
    </row>
    <row r="46" spans="1:7" ht="15.75" customHeight="1">
      <c r="A46" s="34" t="s">
        <v>20</v>
      </c>
      <c r="B46" s="477" t="s">
        <v>188</v>
      </c>
      <c r="C46" s="492"/>
      <c r="D46" s="282"/>
      <c r="E46" s="282"/>
      <c r="F46" s="490">
        <f>E26*1%</f>
        <v>204.9472</v>
      </c>
      <c r="G46" s="490"/>
    </row>
    <row r="47" spans="2:5" ht="15">
      <c r="B47" s="154"/>
      <c r="C47" s="154"/>
      <c r="D47" s="154"/>
      <c r="E47" s="154"/>
    </row>
    <row r="48" spans="1:6" s="67" customFormat="1" ht="15">
      <c r="A48" s="67" t="s">
        <v>55</v>
      </c>
      <c r="C48" s="67" t="s">
        <v>49</v>
      </c>
      <c r="F48" s="67" t="s">
        <v>90</v>
      </c>
    </row>
    <row r="49" s="67" customFormat="1" ht="15">
      <c r="F49" s="126" t="s">
        <v>537</v>
      </c>
    </row>
    <row r="50" s="67" customFormat="1" ht="15">
      <c r="A50" s="67" t="s">
        <v>50</v>
      </c>
    </row>
    <row r="51" spans="3:7" s="67" customFormat="1" ht="15">
      <c r="C51" s="128" t="s">
        <v>51</v>
      </c>
      <c r="E51" s="128"/>
      <c r="F51" s="128"/>
      <c r="G51" s="128"/>
    </row>
    <row r="52" s="67" customFormat="1" ht="15"/>
    <row r="53" s="67" customFormat="1" ht="15"/>
  </sheetData>
  <sheetProtection/>
  <mergeCells count="20">
    <mergeCell ref="C34:F34"/>
    <mergeCell ref="A11:I11"/>
    <mergeCell ref="B46:C46"/>
    <mergeCell ref="F46:G46"/>
    <mergeCell ref="B43:C43"/>
    <mergeCell ref="F43:G43"/>
    <mergeCell ref="B44:C44"/>
    <mergeCell ref="B45:C45"/>
    <mergeCell ref="F45:G45"/>
    <mergeCell ref="F42:G42"/>
    <mergeCell ref="A1:I1"/>
    <mergeCell ref="A2:I2"/>
    <mergeCell ref="A3:K3"/>
    <mergeCell ref="A5:I5"/>
    <mergeCell ref="A10:I10"/>
    <mergeCell ref="F44:G44"/>
    <mergeCell ref="A12:I12"/>
    <mergeCell ref="A35:C35"/>
    <mergeCell ref="A40:G40"/>
    <mergeCell ref="B42:C42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K53"/>
  <sheetViews>
    <sheetView zoomScalePageLayoutView="0" workbookViewId="0" topLeftCell="A40">
      <selection activeCell="F46" sqref="F46:G46"/>
    </sheetView>
  </sheetViews>
  <sheetFormatPr defaultColWidth="9.140625" defaultRowHeight="15" outlineLevelCol="1"/>
  <cols>
    <col min="1" max="1" width="4.8515625" style="35" customWidth="1"/>
    <col min="2" max="2" width="48.00390625" style="35" bestFit="1" customWidth="1"/>
    <col min="3" max="3" width="12.421875" style="35" customWidth="1"/>
    <col min="4" max="5" width="13.00390625" style="35" customWidth="1"/>
    <col min="6" max="6" width="13.710937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5.7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5.2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6.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3" customHeight="1"/>
    <row r="7" spans="1:6" s="67" customFormat="1" ht="16.5" customHeight="1">
      <c r="A7" s="67" t="s">
        <v>2</v>
      </c>
      <c r="F7" s="126" t="s">
        <v>106</v>
      </c>
    </row>
    <row r="8" spans="1:11" s="67" customFormat="1" ht="15">
      <c r="A8" s="67" t="s">
        <v>3</v>
      </c>
      <c r="F8" s="291" t="s">
        <v>357</v>
      </c>
      <c r="H8" s="67">
        <f>31.9+31+31.2+46.1</f>
        <v>140.2</v>
      </c>
      <c r="I8" s="199">
        <f>34.8+33.2</f>
        <v>68</v>
      </c>
      <c r="J8" s="199">
        <v>2466.9</v>
      </c>
      <c r="K8" s="199">
        <f>J8+H8+I8</f>
        <v>2675.1</v>
      </c>
    </row>
    <row r="9" spans="2:6" s="67" customFormat="1" ht="18" customHeight="1">
      <c r="B9" s="67" t="s">
        <v>507</v>
      </c>
      <c r="F9" s="291" t="s">
        <v>517</v>
      </c>
    </row>
    <row r="10" spans="1:9" s="67" customFormat="1" ht="12" customHeight="1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2" customHeight="1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2" customHeight="1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'[2]Ленина 67'!$G$36</f>
        <v>122834.34999999998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'[2]Ленина 67'!$G$37</f>
        <v>201302.0771</v>
      </c>
      <c r="H15" s="62"/>
      <c r="I15" s="62"/>
    </row>
    <row r="16" s="67" customFormat="1" ht="6.75" customHeight="1"/>
    <row r="17" spans="1:7" s="74" customFormat="1" ht="52.5" customHeight="1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67" customFormat="1" ht="15">
      <c r="A18" s="75" t="s">
        <v>14</v>
      </c>
      <c r="B18" s="41" t="s">
        <v>15</v>
      </c>
      <c r="C18" s="135">
        <f>C19+C20+C21+C22</f>
        <v>9.879999999999999</v>
      </c>
      <c r="D18" s="76">
        <v>336035.94</v>
      </c>
      <c r="E18" s="76">
        <v>343283.8</v>
      </c>
      <c r="F18" s="76">
        <f aca="true" t="shared" si="0" ref="F18:F25">D18</f>
        <v>336035.94</v>
      </c>
      <c r="G18" s="77">
        <f>D18-E18</f>
        <v>-7247.859999999986</v>
      </c>
      <c r="H18" s="145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117680.60246963563</v>
      </c>
      <c r="E19" s="83">
        <f>E18*I19</f>
        <v>120218.82064777329</v>
      </c>
      <c r="F19" s="83">
        <f t="shared" si="0"/>
        <v>117680.60246963563</v>
      </c>
      <c r="G19" s="84">
        <f>D19-E19</f>
        <v>-2538.2181781376567</v>
      </c>
      <c r="H19" s="145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57479.83184210527</v>
      </c>
      <c r="E20" s="83">
        <f>E18*I20</f>
        <v>58719.597368421055</v>
      </c>
      <c r="F20" s="83">
        <f t="shared" si="0"/>
        <v>57479.83184210527</v>
      </c>
      <c r="G20" s="84">
        <f>D20-E20</f>
        <v>-1239.7655263157867</v>
      </c>
      <c r="H20" s="145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57479.83184210527</v>
      </c>
      <c r="E21" s="83">
        <f>E18*I21</f>
        <v>58719.597368421055</v>
      </c>
      <c r="F21" s="83">
        <f t="shared" si="0"/>
        <v>57479.83184210527</v>
      </c>
      <c r="G21" s="84">
        <f>D21-E21</f>
        <v>-1239.7655263157867</v>
      </c>
      <c r="H21" s="145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103395.67384615385</v>
      </c>
      <c r="E22" s="83">
        <f>E18*I22</f>
        <v>105625.78461538462</v>
      </c>
      <c r="F22" s="83">
        <f t="shared" si="0"/>
        <v>103395.67384615385</v>
      </c>
      <c r="G22" s="84">
        <f>D22-E22</f>
        <v>-2230.1107692307705</v>
      </c>
      <c r="H22" s="145">
        <f>C22</f>
        <v>3.04</v>
      </c>
      <c r="I22" s="67">
        <f>H22/H18</f>
        <v>0.3076923076923077</v>
      </c>
    </row>
    <row r="23" spans="1:9" ht="15">
      <c r="A23" s="41" t="s">
        <v>25</v>
      </c>
      <c r="B23" s="140" t="s">
        <v>226</v>
      </c>
      <c r="C23" s="46">
        <v>130</v>
      </c>
      <c r="D23" s="77">
        <v>76050</v>
      </c>
      <c r="E23" s="77">
        <v>68706.69</v>
      </c>
      <c r="F23" s="77">
        <f t="shared" si="0"/>
        <v>76050</v>
      </c>
      <c r="G23" s="77">
        <f aca="true" t="shared" si="1" ref="G23:G32">D23-E23</f>
        <v>7343.309999999998</v>
      </c>
      <c r="H23" s="35">
        <f>76*130</f>
        <v>9880</v>
      </c>
      <c r="I23" s="358">
        <f>D23/H23</f>
        <v>7.697368421052632</v>
      </c>
    </row>
    <row r="24" spans="1:7" ht="15">
      <c r="A24" s="41" t="s">
        <v>27</v>
      </c>
      <c r="B24" s="140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ht="15">
      <c r="A25" s="41" t="s">
        <v>29</v>
      </c>
      <c r="B25" s="140" t="s">
        <v>161</v>
      </c>
      <c r="C25" s="141">
        <v>12.54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</row>
    <row r="26" spans="1:7" ht="15">
      <c r="A26" s="41" t="s">
        <v>31</v>
      </c>
      <c r="B26" s="140" t="s">
        <v>116</v>
      </c>
      <c r="C26" s="97">
        <v>1.86</v>
      </c>
      <c r="D26" s="77">
        <v>59708.52</v>
      </c>
      <c r="E26" s="77">
        <v>61050.66</v>
      </c>
      <c r="F26" s="87">
        <f>F41</f>
        <v>266962.0566</v>
      </c>
      <c r="G26" s="77">
        <f t="shared" si="1"/>
        <v>-1342.1400000000067</v>
      </c>
    </row>
    <row r="27" spans="1:9" s="38" customFormat="1" ht="15">
      <c r="A27" s="41" t="s">
        <v>33</v>
      </c>
      <c r="B27" s="134" t="s">
        <v>34</v>
      </c>
      <c r="C27" s="46">
        <v>0</v>
      </c>
      <c r="D27" s="77">
        <v>0</v>
      </c>
      <c r="E27" s="77">
        <v>776.47</v>
      </c>
      <c r="F27" s="87">
        <v>0</v>
      </c>
      <c r="G27" s="77">
        <f t="shared" si="1"/>
        <v>-776.47</v>
      </c>
      <c r="H27" s="35"/>
      <c r="I27" s="35"/>
    </row>
    <row r="28" spans="1:7" ht="15">
      <c r="A28" s="41" t="s">
        <v>35</v>
      </c>
      <c r="B28" s="134" t="s">
        <v>36</v>
      </c>
      <c r="C28" s="97"/>
      <c r="D28" s="77">
        <f>SUM(D29:D32)</f>
        <v>1526698.102</v>
      </c>
      <c r="E28" s="77">
        <f>SUM(E29:E32)</f>
        <v>1536020.67</v>
      </c>
      <c r="F28" s="77">
        <f>SUM(F29:F32)</f>
        <v>1526698.102</v>
      </c>
      <c r="G28" s="77">
        <f t="shared" si="1"/>
        <v>-9322.56799999997</v>
      </c>
    </row>
    <row r="29" spans="1:7" ht="15">
      <c r="A29" s="34" t="s">
        <v>37</v>
      </c>
      <c r="B29" s="34" t="s">
        <v>165</v>
      </c>
      <c r="C29" s="285">
        <v>6</v>
      </c>
      <c r="D29" s="84">
        <v>45594.822</v>
      </c>
      <c r="E29" s="84">
        <v>45439.47</v>
      </c>
      <c r="F29" s="84">
        <f>D29</f>
        <v>45594.822</v>
      </c>
      <c r="G29" s="84">
        <f t="shared" si="1"/>
        <v>155.35199999999895</v>
      </c>
    </row>
    <row r="30" spans="1:7" ht="15">
      <c r="A30" s="34" t="s">
        <v>39</v>
      </c>
      <c r="B30" s="34" t="s">
        <v>137</v>
      </c>
      <c r="C30" s="285">
        <v>57.08</v>
      </c>
      <c r="D30" s="84">
        <v>405708.12</v>
      </c>
      <c r="E30" s="84">
        <v>422656.27</v>
      </c>
      <c r="F30" s="84">
        <f>D30</f>
        <v>405708.12</v>
      </c>
      <c r="G30" s="84">
        <f t="shared" si="1"/>
        <v>-16948.150000000023</v>
      </c>
    </row>
    <row r="31" spans="1:7" ht="15">
      <c r="A31" s="34" t="s">
        <v>42</v>
      </c>
      <c r="B31" s="34" t="s">
        <v>40</v>
      </c>
      <c r="C31" s="286">
        <v>0</v>
      </c>
      <c r="D31" s="84">
        <v>0</v>
      </c>
      <c r="E31" s="84">
        <v>0</v>
      </c>
      <c r="F31" s="84">
        <f>D31</f>
        <v>0</v>
      </c>
      <c r="G31" s="84">
        <f t="shared" si="1"/>
        <v>0</v>
      </c>
    </row>
    <row r="32" spans="1:9" ht="15">
      <c r="A32" s="34" t="s">
        <v>41</v>
      </c>
      <c r="B32" s="34" t="s">
        <v>43</v>
      </c>
      <c r="C32" s="285">
        <v>2638.8</v>
      </c>
      <c r="D32" s="84">
        <v>1075395.16</v>
      </c>
      <c r="E32" s="84">
        <v>1067924.93</v>
      </c>
      <c r="F32" s="84">
        <f>D32</f>
        <v>1075395.16</v>
      </c>
      <c r="G32" s="84">
        <f t="shared" si="1"/>
        <v>7470.229999999981</v>
      </c>
      <c r="H32" s="101"/>
      <c r="I32" s="101"/>
    </row>
    <row r="33" spans="1:9" ht="15.75" thickBot="1">
      <c r="A33" s="446" t="s">
        <v>294</v>
      </c>
      <c r="B33" s="447"/>
      <c r="C33" s="447"/>
      <c r="D33" s="448"/>
      <c r="E33" s="448"/>
      <c r="F33" s="448"/>
      <c r="G33" s="170"/>
      <c r="H33" s="101"/>
      <c r="I33" s="101"/>
    </row>
    <row r="34" spans="1:10" s="102" customFormat="1" ht="14.25" thickBot="1">
      <c r="A34" s="455" t="s">
        <v>413</v>
      </c>
      <c r="B34" s="456"/>
      <c r="C34" s="456"/>
      <c r="D34" s="65">
        <v>727487.44</v>
      </c>
      <c r="E34" s="66"/>
      <c r="F34" s="66"/>
      <c r="G34" s="66"/>
      <c r="H34" s="62"/>
      <c r="I34" s="62"/>
      <c r="J34" s="101"/>
    </row>
    <row r="35" spans="1:9" s="67" customFormat="1" ht="8.25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414</v>
      </c>
      <c r="B36" s="64"/>
      <c r="C36" s="64"/>
      <c r="D36" s="69"/>
      <c r="E36" s="70"/>
      <c r="F36" s="70"/>
      <c r="G36" s="144">
        <f>G14+E27-F27</f>
        <v>123610.81999999998</v>
      </c>
      <c r="H36" s="62"/>
      <c r="I36" s="62"/>
    </row>
    <row r="37" spans="1:9" s="67" customFormat="1" ht="15.75" thickBot="1">
      <c r="A37" s="63" t="s">
        <v>415</v>
      </c>
      <c r="B37" s="64"/>
      <c r="C37" s="64"/>
      <c r="D37" s="69"/>
      <c r="E37" s="70"/>
      <c r="F37" s="70"/>
      <c r="G37" s="144">
        <f>G15+E26-F26</f>
        <v>-4609.319499999983</v>
      </c>
      <c r="H37" s="62"/>
      <c r="I37" s="62"/>
    </row>
    <row r="38" spans="1:9" ht="19.5" customHeight="1">
      <c r="A38" s="537"/>
      <c r="B38" s="537"/>
      <c r="C38" s="537"/>
      <c r="D38" s="537"/>
      <c r="E38" s="537"/>
      <c r="F38" s="537"/>
      <c r="G38" s="537"/>
      <c r="H38" s="537"/>
      <c r="I38" s="537"/>
    </row>
    <row r="39" ht="3.75" customHeight="1"/>
    <row r="40" spans="1:7" s="171" customFormat="1" ht="28.5" customHeight="1">
      <c r="A40" s="105" t="s">
        <v>11</v>
      </c>
      <c r="B40" s="471" t="s">
        <v>45</v>
      </c>
      <c r="C40" s="484"/>
      <c r="D40" s="105" t="s">
        <v>163</v>
      </c>
      <c r="E40" s="105" t="s">
        <v>162</v>
      </c>
      <c r="F40" s="471" t="s">
        <v>46</v>
      </c>
      <c r="G40" s="484"/>
    </row>
    <row r="41" spans="1:7" s="114" customFormat="1" ht="12.75" customHeight="1">
      <c r="A41" s="109" t="s">
        <v>47</v>
      </c>
      <c r="B41" s="473" t="s">
        <v>111</v>
      </c>
      <c r="C41" s="491"/>
      <c r="D41" s="110"/>
      <c r="E41" s="110"/>
      <c r="F41" s="496">
        <f>SUM(F42:L48)</f>
        <v>266962.0566</v>
      </c>
      <c r="G41" s="483"/>
    </row>
    <row r="42" spans="1:7" ht="30" customHeight="1">
      <c r="A42" s="34" t="s">
        <v>16</v>
      </c>
      <c r="B42" s="462" t="s">
        <v>601</v>
      </c>
      <c r="C42" s="489"/>
      <c r="D42" s="403" t="s">
        <v>164</v>
      </c>
      <c r="E42" s="403">
        <v>4</v>
      </c>
      <c r="F42" s="525">
        <v>52475.48</v>
      </c>
      <c r="G42" s="526"/>
    </row>
    <row r="43" spans="1:7" ht="12.75" customHeight="1">
      <c r="A43" s="34" t="s">
        <v>18</v>
      </c>
      <c r="B43" s="462" t="s">
        <v>602</v>
      </c>
      <c r="C43" s="489"/>
      <c r="D43" s="403"/>
      <c r="E43" s="406" t="s">
        <v>398</v>
      </c>
      <c r="F43" s="497">
        <v>5249.07</v>
      </c>
      <c r="G43" s="497"/>
    </row>
    <row r="44" spans="1:7" ht="27" customHeight="1">
      <c r="A44" s="34" t="s">
        <v>20</v>
      </c>
      <c r="B44" s="462" t="s">
        <v>324</v>
      </c>
      <c r="C44" s="498"/>
      <c r="D44" s="403"/>
      <c r="E44" s="406" t="s">
        <v>221</v>
      </c>
      <c r="F44" s="482">
        <v>110</v>
      </c>
      <c r="G44" s="482"/>
    </row>
    <row r="45" spans="1:7" ht="12.75" customHeight="1">
      <c r="A45" s="34" t="s">
        <v>22</v>
      </c>
      <c r="B45" s="462" t="s">
        <v>603</v>
      </c>
      <c r="C45" s="498"/>
      <c r="D45" s="403"/>
      <c r="E45" s="406"/>
      <c r="F45" s="482">
        <v>153217</v>
      </c>
      <c r="G45" s="482"/>
    </row>
    <row r="46" spans="1:7" ht="12.75" customHeight="1">
      <c r="A46" s="34" t="s">
        <v>24</v>
      </c>
      <c r="B46" s="462" t="s">
        <v>604</v>
      </c>
      <c r="C46" s="498"/>
      <c r="D46" s="403"/>
      <c r="E46" s="406" t="s">
        <v>605</v>
      </c>
      <c r="F46" s="482">
        <v>38500</v>
      </c>
      <c r="G46" s="482"/>
    </row>
    <row r="47" spans="1:7" ht="12.75" customHeight="1">
      <c r="A47" s="34" t="s">
        <v>103</v>
      </c>
      <c r="B47" s="449" t="s">
        <v>814</v>
      </c>
      <c r="C47" s="641"/>
      <c r="D47" s="403" t="s">
        <v>391</v>
      </c>
      <c r="E47" s="406">
        <v>6</v>
      </c>
      <c r="F47" s="490">
        <v>16800</v>
      </c>
      <c r="G47" s="490"/>
    </row>
    <row r="48" spans="1:7" ht="15">
      <c r="A48" s="34" t="s">
        <v>104</v>
      </c>
      <c r="B48" s="148" t="s">
        <v>188</v>
      </c>
      <c r="C48" s="149"/>
      <c r="D48" s="118"/>
      <c r="E48" s="118"/>
      <c r="F48" s="495">
        <f>E26*1%</f>
        <v>610.5066</v>
      </c>
      <c r="G48" s="495"/>
    </row>
    <row r="49" spans="1:7" ht="15">
      <c r="A49" s="67"/>
      <c r="B49" s="67"/>
      <c r="C49" s="67"/>
      <c r="D49" s="67"/>
      <c r="E49" s="67"/>
      <c r="F49" s="67"/>
      <c r="G49" s="67"/>
    </row>
    <row r="50" spans="1:7" ht="15">
      <c r="A50" s="67" t="s">
        <v>55</v>
      </c>
      <c r="B50" s="67"/>
      <c r="C50" s="67" t="s">
        <v>49</v>
      </c>
      <c r="D50" s="67"/>
      <c r="E50" s="67"/>
      <c r="F50" s="67" t="s">
        <v>90</v>
      </c>
      <c r="G50" s="67"/>
    </row>
    <row r="51" spans="1:7" ht="15">
      <c r="A51" s="67"/>
      <c r="B51" s="67"/>
      <c r="C51" s="67"/>
      <c r="D51" s="67"/>
      <c r="E51" s="67"/>
      <c r="F51" s="126" t="s">
        <v>545</v>
      </c>
      <c r="G51" s="67"/>
    </row>
    <row r="52" spans="1:7" ht="15">
      <c r="A52" s="67" t="s">
        <v>50</v>
      </c>
      <c r="B52" s="67"/>
      <c r="C52" s="67"/>
      <c r="D52" s="67"/>
      <c r="E52" s="67"/>
      <c r="F52" s="67"/>
      <c r="G52" s="67"/>
    </row>
    <row r="53" spans="1:7" ht="15">
      <c r="A53" s="67"/>
      <c r="B53" s="67"/>
      <c r="C53" s="128" t="s">
        <v>51</v>
      </c>
      <c r="D53" s="67"/>
      <c r="E53" s="128"/>
      <c r="F53" s="128"/>
      <c r="G53" s="128"/>
    </row>
  </sheetData>
  <sheetProtection/>
  <mergeCells count="27">
    <mergeCell ref="F47:G47"/>
    <mergeCell ref="F45:G45"/>
    <mergeCell ref="F48:G48"/>
    <mergeCell ref="B40:C40"/>
    <mergeCell ref="B41:C41"/>
    <mergeCell ref="B42:C42"/>
    <mergeCell ref="B43:C43"/>
    <mergeCell ref="F43:G43"/>
    <mergeCell ref="F41:G41"/>
    <mergeCell ref="F46:G46"/>
    <mergeCell ref="B47:C47"/>
    <mergeCell ref="A1:I1"/>
    <mergeCell ref="A2:I2"/>
    <mergeCell ref="A5:I5"/>
    <mergeCell ref="A10:I10"/>
    <mergeCell ref="A3:K3"/>
    <mergeCell ref="A11:I11"/>
    <mergeCell ref="A34:C34"/>
    <mergeCell ref="B45:C45"/>
    <mergeCell ref="B46:C46"/>
    <mergeCell ref="A12:I12"/>
    <mergeCell ref="A38:I38"/>
    <mergeCell ref="F40:G40"/>
    <mergeCell ref="F42:G42"/>
    <mergeCell ref="A33:F33"/>
    <mergeCell ref="B44:C44"/>
    <mergeCell ref="F44:G4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7030A0"/>
  </sheetPr>
  <dimension ref="A1:P48"/>
  <sheetViews>
    <sheetView zoomScalePageLayoutView="0" workbookViewId="0" topLeftCell="A39">
      <selection activeCell="D44" sqref="D44:G44"/>
    </sheetView>
  </sheetViews>
  <sheetFormatPr defaultColWidth="9.140625" defaultRowHeight="15" outlineLevelCol="1"/>
  <cols>
    <col min="1" max="1" width="5.57421875" style="35" customWidth="1"/>
    <col min="2" max="2" width="49.28125" style="35" customWidth="1"/>
    <col min="3" max="3" width="13.00390625" style="35" customWidth="1"/>
    <col min="4" max="4" width="13.421875" style="35" customWidth="1"/>
    <col min="5" max="5" width="13.8515625" style="35" customWidth="1"/>
    <col min="6" max="6" width="12.8515625" style="35" customWidth="1"/>
    <col min="7" max="7" width="13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3.7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5.7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6" customHeight="1"/>
    <row r="7" spans="1:6" s="67" customFormat="1" ht="16.5" customHeight="1">
      <c r="A7" s="67" t="s">
        <v>2</v>
      </c>
      <c r="F7" s="126" t="s">
        <v>107</v>
      </c>
    </row>
    <row r="8" spans="1:6" s="67" customFormat="1" ht="15">
      <c r="A8" s="67" t="s">
        <v>3</v>
      </c>
      <c r="F8" s="291" t="s">
        <v>358</v>
      </c>
    </row>
    <row r="9" s="67" customFormat="1" ht="4.5" customHeight="1"/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336</v>
      </c>
      <c r="B14" s="64"/>
      <c r="C14" s="64"/>
      <c r="D14" s="69"/>
      <c r="E14" s="70"/>
      <c r="F14" s="70"/>
      <c r="G14" s="144">
        <f>'[2]Огарева 20'!$G$35</f>
        <v>168818.6712</v>
      </c>
      <c r="H14" s="62"/>
      <c r="I14" s="62"/>
    </row>
    <row r="15" s="67" customFormat="1" ht="6.75" customHeight="1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</row>
    <row r="17" spans="1:16" s="67" customFormat="1" ht="15">
      <c r="A17" s="75" t="s">
        <v>14</v>
      </c>
      <c r="B17" s="41" t="s">
        <v>15</v>
      </c>
      <c r="C17" s="135">
        <f>C18+C19+C20+C21+C22</f>
        <v>13.84</v>
      </c>
      <c r="D17" s="76">
        <v>349998.94</v>
      </c>
      <c r="E17" s="76">
        <v>337921.88</v>
      </c>
      <c r="F17" s="76">
        <f aca="true" t="shared" si="0" ref="F17:F25">D17</f>
        <v>349998.94</v>
      </c>
      <c r="G17" s="77">
        <f aca="true" t="shared" si="1" ref="G17:G22">D17-E17</f>
        <v>12077.059999999998</v>
      </c>
      <c r="H17" s="78">
        <f aca="true" t="shared" si="2" ref="H17:H22">C17</f>
        <v>13.84</v>
      </c>
      <c r="I17" s="167"/>
      <c r="N17" s="208"/>
      <c r="O17" s="208"/>
      <c r="P17" s="208"/>
    </row>
    <row r="18" spans="1:9" s="67" customFormat="1" ht="15">
      <c r="A18" s="81" t="s">
        <v>16</v>
      </c>
      <c r="B18" s="34" t="s">
        <v>17</v>
      </c>
      <c r="C18" s="99">
        <v>3.46</v>
      </c>
      <c r="D18" s="83">
        <f>D17*I18</f>
        <v>87499.735</v>
      </c>
      <c r="E18" s="83">
        <f>E17*I18</f>
        <v>84480.47</v>
      </c>
      <c r="F18" s="83">
        <f t="shared" si="0"/>
        <v>87499.735</v>
      </c>
      <c r="G18" s="84">
        <f t="shared" si="1"/>
        <v>3019.2649999999994</v>
      </c>
      <c r="H18" s="78">
        <f t="shared" si="2"/>
        <v>3.46</v>
      </c>
      <c r="I18" s="67">
        <f>H18/H17</f>
        <v>0.25</v>
      </c>
    </row>
    <row r="19" spans="1:9" s="67" customFormat="1" ht="15">
      <c r="A19" s="81" t="s">
        <v>18</v>
      </c>
      <c r="B19" s="34" t="s">
        <v>19</v>
      </c>
      <c r="C19" s="99">
        <v>1.69</v>
      </c>
      <c r="D19" s="83">
        <f>D17*I19</f>
        <v>42738.3098699422</v>
      </c>
      <c r="E19" s="83">
        <f>E17*I19</f>
        <v>41263.58216763006</v>
      </c>
      <c r="F19" s="83">
        <f t="shared" si="0"/>
        <v>42738.3098699422</v>
      </c>
      <c r="G19" s="84">
        <f t="shared" si="1"/>
        <v>1474.727702312135</v>
      </c>
      <c r="H19" s="78">
        <f t="shared" si="2"/>
        <v>1.69</v>
      </c>
      <c r="I19" s="67">
        <f>H19/H17</f>
        <v>0.12210982658959538</v>
      </c>
    </row>
    <row r="20" spans="1:9" s="67" customFormat="1" ht="15">
      <c r="A20" s="81" t="s">
        <v>20</v>
      </c>
      <c r="B20" s="34" t="s">
        <v>21</v>
      </c>
      <c r="C20" s="99">
        <v>2.15</v>
      </c>
      <c r="D20" s="83">
        <f>D17*I20</f>
        <v>54371.22261560694</v>
      </c>
      <c r="E20" s="83">
        <f>E17*I20</f>
        <v>52495.089739884395</v>
      </c>
      <c r="F20" s="83">
        <f t="shared" si="0"/>
        <v>54371.22261560694</v>
      </c>
      <c r="G20" s="84">
        <f t="shared" si="1"/>
        <v>1876.132875722542</v>
      </c>
      <c r="H20" s="78">
        <f t="shared" si="2"/>
        <v>2.15</v>
      </c>
      <c r="I20" s="67">
        <f>H20/H17</f>
        <v>0.15534682080924855</v>
      </c>
    </row>
    <row r="21" spans="1:9" s="67" customFormat="1" ht="15">
      <c r="A21" s="81" t="s">
        <v>22</v>
      </c>
      <c r="B21" s="34" t="s">
        <v>23</v>
      </c>
      <c r="C21" s="99">
        <v>3.04</v>
      </c>
      <c r="D21" s="83">
        <f>D17*I21</f>
        <v>76878.37988439307</v>
      </c>
      <c r="E21" s="83">
        <f>E17*I21</f>
        <v>74225.6152601156</v>
      </c>
      <c r="F21" s="83">
        <f t="shared" si="0"/>
        <v>76878.37988439307</v>
      </c>
      <c r="G21" s="84">
        <f t="shared" si="1"/>
        <v>2652.7646242774645</v>
      </c>
      <c r="H21" s="78">
        <f t="shared" si="2"/>
        <v>3.04</v>
      </c>
      <c r="I21" s="67">
        <f>H21/H17</f>
        <v>0.21965317919075145</v>
      </c>
    </row>
    <row r="22" spans="1:9" s="67" customFormat="1" ht="15">
      <c r="A22" s="81" t="s">
        <v>24</v>
      </c>
      <c r="B22" s="34" t="s">
        <v>347</v>
      </c>
      <c r="C22" s="99">
        <v>3.5</v>
      </c>
      <c r="D22" s="83">
        <f>I22*D17</f>
        <v>88511.29263005781</v>
      </c>
      <c r="E22" s="83">
        <f>I22*E17</f>
        <v>85457.12283236995</v>
      </c>
      <c r="F22" s="83">
        <f>D22</f>
        <v>88511.29263005781</v>
      </c>
      <c r="G22" s="84">
        <f t="shared" si="1"/>
        <v>3054.169797687864</v>
      </c>
      <c r="H22" s="78">
        <f t="shared" si="2"/>
        <v>3.5</v>
      </c>
      <c r="I22" s="67">
        <f>H22/H17</f>
        <v>0.25289017341040465</v>
      </c>
    </row>
    <row r="23" spans="1:9" ht="15">
      <c r="A23" s="41" t="s">
        <v>25</v>
      </c>
      <c r="B23" s="41" t="s">
        <v>26</v>
      </c>
      <c r="C23" s="141">
        <v>0</v>
      </c>
      <c r="D23" s="77">
        <v>0</v>
      </c>
      <c r="E23" s="77">
        <v>0</v>
      </c>
      <c r="F23" s="76">
        <f t="shared" si="0"/>
        <v>0</v>
      </c>
      <c r="G23" s="77">
        <f aca="true" t="shared" si="3" ref="G23:G32">D23-E23</f>
        <v>0</v>
      </c>
      <c r="H23" s="39"/>
      <c r="I23" s="39"/>
    </row>
    <row r="24" spans="1:9" ht="15">
      <c r="A24" s="41" t="s">
        <v>27</v>
      </c>
      <c r="B24" s="41" t="s">
        <v>28</v>
      </c>
      <c r="C24" s="141">
        <v>0</v>
      </c>
      <c r="D24" s="77">
        <v>0</v>
      </c>
      <c r="E24" s="77">
        <v>0</v>
      </c>
      <c r="F24" s="77">
        <f t="shared" si="0"/>
        <v>0</v>
      </c>
      <c r="G24" s="77">
        <f t="shared" si="3"/>
        <v>0</v>
      </c>
      <c r="H24" s="39"/>
      <c r="I24" s="39"/>
    </row>
    <row r="25" spans="1:9" ht="15">
      <c r="A25" s="41" t="s">
        <v>29</v>
      </c>
      <c r="B25" s="41" t="s">
        <v>30</v>
      </c>
      <c r="C25" s="141">
        <v>0</v>
      </c>
      <c r="D25" s="77">
        <v>0</v>
      </c>
      <c r="E25" s="77">
        <v>0</v>
      </c>
      <c r="F25" s="77">
        <f t="shared" si="0"/>
        <v>0</v>
      </c>
      <c r="G25" s="77">
        <f t="shared" si="3"/>
        <v>0</v>
      </c>
      <c r="H25" s="39"/>
      <c r="I25" s="39"/>
    </row>
    <row r="26" spans="1:9" ht="15">
      <c r="A26" s="41" t="s">
        <v>31</v>
      </c>
      <c r="B26" s="41" t="s">
        <v>116</v>
      </c>
      <c r="C26" s="141">
        <v>2.06</v>
      </c>
      <c r="D26" s="77">
        <v>51272.04</v>
      </c>
      <c r="E26" s="77">
        <v>50356.07</v>
      </c>
      <c r="F26" s="87">
        <f>F41</f>
        <v>41139.4907</v>
      </c>
      <c r="G26" s="77">
        <f t="shared" si="3"/>
        <v>915.9700000000012</v>
      </c>
      <c r="H26" s="39"/>
      <c r="I26" s="39"/>
    </row>
    <row r="27" spans="1:9" ht="15">
      <c r="A27" s="211">
        <v>6</v>
      </c>
      <c r="B27" s="86" t="s">
        <v>161</v>
      </c>
      <c r="C27" s="135" t="s">
        <v>297</v>
      </c>
      <c r="D27" s="77">
        <v>0</v>
      </c>
      <c r="E27" s="77">
        <v>0</v>
      </c>
      <c r="F27" s="87">
        <f>D27</f>
        <v>0</v>
      </c>
      <c r="G27" s="77">
        <f t="shared" si="3"/>
        <v>0</v>
      </c>
      <c r="H27" s="39"/>
      <c r="I27" s="39"/>
    </row>
    <row r="28" spans="1:9" ht="15">
      <c r="A28" s="211">
        <f>A27+1</f>
        <v>7</v>
      </c>
      <c r="B28" s="41" t="s">
        <v>36</v>
      </c>
      <c r="C28" s="142"/>
      <c r="D28" s="77">
        <f>SUM(D29:D32)</f>
        <v>1321135.47</v>
      </c>
      <c r="E28" s="77">
        <f>SUM(E29:E32)</f>
        <v>1318799.21</v>
      </c>
      <c r="F28" s="77">
        <f>SUM(F29:F32)</f>
        <v>845664.97</v>
      </c>
      <c r="G28" s="77">
        <f t="shared" si="3"/>
        <v>2336.2600000000093</v>
      </c>
      <c r="H28" s="39"/>
      <c r="I28" s="39"/>
    </row>
    <row r="29" spans="1:7" ht="15">
      <c r="A29" s="212" t="s">
        <v>37</v>
      </c>
      <c r="B29" s="34" t="s">
        <v>93</v>
      </c>
      <c r="C29" s="285">
        <v>6</v>
      </c>
      <c r="D29" s="84">
        <v>14388.09</v>
      </c>
      <c r="E29" s="84">
        <v>14085.31</v>
      </c>
      <c r="F29" s="84">
        <f>D29</f>
        <v>14388.09</v>
      </c>
      <c r="G29" s="84">
        <f t="shared" si="3"/>
        <v>302.78000000000065</v>
      </c>
    </row>
    <row r="30" spans="1:7" ht="15">
      <c r="A30" s="212" t="s">
        <v>39</v>
      </c>
      <c r="B30" s="34" t="s">
        <v>137</v>
      </c>
      <c r="C30" s="285">
        <v>57.08</v>
      </c>
      <c r="D30" s="84">
        <v>266514.17</v>
      </c>
      <c r="E30" s="84">
        <v>266807.93</v>
      </c>
      <c r="F30" s="84">
        <f>D30</f>
        <v>266514.17</v>
      </c>
      <c r="G30" s="84">
        <f t="shared" si="3"/>
        <v>-293.7600000000093</v>
      </c>
    </row>
    <row r="31" spans="1:7" ht="15">
      <c r="A31" s="212" t="s">
        <v>42</v>
      </c>
      <c r="B31" s="34" t="s">
        <v>340</v>
      </c>
      <c r="C31" s="286">
        <v>211.65</v>
      </c>
      <c r="D31" s="84">
        <v>480831.43</v>
      </c>
      <c r="E31" s="84">
        <v>481515</v>
      </c>
      <c r="F31" s="84">
        <v>5360.93</v>
      </c>
      <c r="G31" s="84">
        <f t="shared" si="3"/>
        <v>-683.570000000007</v>
      </c>
    </row>
    <row r="32" spans="1:7" ht="15">
      <c r="A32" s="212" t="s">
        <v>41</v>
      </c>
      <c r="B32" s="34" t="s">
        <v>43</v>
      </c>
      <c r="C32" s="285">
        <v>2638.8</v>
      </c>
      <c r="D32" s="84">
        <v>559401.78</v>
      </c>
      <c r="E32" s="84">
        <v>556390.97</v>
      </c>
      <c r="F32" s="84">
        <f>D32</f>
        <v>559401.78</v>
      </c>
      <c r="G32" s="84">
        <f t="shared" si="3"/>
        <v>3010.810000000056</v>
      </c>
    </row>
    <row r="33" spans="1:10" s="102" customFormat="1" ht="21" customHeight="1" thickBot="1">
      <c r="A33" s="446" t="s">
        <v>294</v>
      </c>
      <c r="B33" s="447"/>
      <c r="C33" s="447"/>
      <c r="D33" s="448"/>
      <c r="E33" s="448"/>
      <c r="F33" s="448"/>
      <c r="G33" s="101"/>
      <c r="H33" s="101"/>
      <c r="I33" s="101"/>
      <c r="J33" s="101"/>
    </row>
    <row r="34" spans="1:9" s="67" customFormat="1" ht="15.75" thickBot="1">
      <c r="A34" s="455" t="s">
        <v>413</v>
      </c>
      <c r="B34" s="456"/>
      <c r="C34" s="456"/>
      <c r="D34" s="65">
        <v>354955.17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415</v>
      </c>
      <c r="B36" s="64"/>
      <c r="C36" s="64"/>
      <c r="D36" s="69"/>
      <c r="E36" s="70"/>
      <c r="F36" s="70"/>
      <c r="G36" s="144">
        <f>G14+E26-F26</f>
        <v>178035.25050000002</v>
      </c>
      <c r="H36" s="62"/>
      <c r="I36" s="62"/>
    </row>
    <row r="37" spans="1:9" s="67" customFormat="1" ht="15">
      <c r="A37" s="68"/>
      <c r="B37" s="68"/>
      <c r="C37" s="68"/>
      <c r="D37" s="40"/>
      <c r="E37" s="66"/>
      <c r="F37" s="66"/>
      <c r="G37" s="40"/>
      <c r="H37" s="62"/>
      <c r="I37" s="62"/>
    </row>
    <row r="38" spans="1:9" ht="26.25" customHeight="1">
      <c r="A38" s="537" t="s">
        <v>44</v>
      </c>
      <c r="B38" s="537"/>
      <c r="C38" s="537"/>
      <c r="D38" s="537"/>
      <c r="E38" s="537"/>
      <c r="F38" s="537"/>
      <c r="G38" s="537"/>
      <c r="H38" s="537"/>
      <c r="I38" s="537"/>
    </row>
    <row r="39" ht="3.75" customHeight="1"/>
    <row r="40" spans="1:7" s="171" customFormat="1" ht="28.5" customHeight="1">
      <c r="A40" s="105" t="s">
        <v>11</v>
      </c>
      <c r="B40" s="471" t="s">
        <v>45</v>
      </c>
      <c r="C40" s="484"/>
      <c r="D40" s="105" t="s">
        <v>163</v>
      </c>
      <c r="E40" s="105" t="s">
        <v>162</v>
      </c>
      <c r="F40" s="471" t="s">
        <v>46</v>
      </c>
      <c r="G40" s="484"/>
    </row>
    <row r="41" spans="1:7" s="114" customFormat="1" ht="13.5" customHeight="1">
      <c r="A41" s="109" t="s">
        <v>47</v>
      </c>
      <c r="B41" s="473" t="s">
        <v>111</v>
      </c>
      <c r="C41" s="491"/>
      <c r="D41" s="110"/>
      <c r="E41" s="110"/>
      <c r="F41" s="496">
        <f>SUM(F42:L45)</f>
        <v>41139.4907</v>
      </c>
      <c r="G41" s="483"/>
    </row>
    <row r="42" spans="1:9" s="114" customFormat="1" ht="15">
      <c r="A42" s="34" t="s">
        <v>16</v>
      </c>
      <c r="B42" s="462" t="s">
        <v>606</v>
      </c>
      <c r="C42" s="489"/>
      <c r="D42" s="403" t="s">
        <v>391</v>
      </c>
      <c r="E42" s="403">
        <v>5</v>
      </c>
      <c r="F42" s="525">
        <v>15978</v>
      </c>
      <c r="G42" s="526"/>
      <c r="H42" s="35"/>
      <c r="I42" s="35"/>
    </row>
    <row r="43" spans="1:9" s="114" customFormat="1" ht="15">
      <c r="A43" s="34" t="s">
        <v>18</v>
      </c>
      <c r="B43" s="462" t="s">
        <v>607</v>
      </c>
      <c r="C43" s="498"/>
      <c r="D43" s="403" t="s">
        <v>391</v>
      </c>
      <c r="E43" s="406">
        <v>11</v>
      </c>
      <c r="F43" s="482">
        <v>24657.93</v>
      </c>
      <c r="G43" s="482"/>
      <c r="H43" s="35"/>
      <c r="I43" s="35"/>
    </row>
    <row r="44" spans="1:9" s="114" customFormat="1" ht="15">
      <c r="A44" s="34" t="s">
        <v>20</v>
      </c>
      <c r="B44" s="462"/>
      <c r="C44" s="498"/>
      <c r="D44" s="403"/>
      <c r="E44" s="406"/>
      <c r="F44" s="482"/>
      <c r="G44" s="482"/>
      <c r="H44" s="35"/>
      <c r="I44" s="35"/>
    </row>
    <row r="45" spans="1:9" s="67" customFormat="1" ht="15">
      <c r="A45" s="34" t="s">
        <v>22</v>
      </c>
      <c r="B45" s="148" t="s">
        <v>188</v>
      </c>
      <c r="C45" s="149"/>
      <c r="D45" s="118"/>
      <c r="E45" s="118"/>
      <c r="F45" s="495">
        <f>E26*1%</f>
        <v>503.5607</v>
      </c>
      <c r="G45" s="495"/>
      <c r="H45" s="35"/>
      <c r="I45" s="35"/>
    </row>
    <row r="46" spans="1:9" s="67" customFormat="1" ht="11.25" customHeight="1">
      <c r="A46" s="168"/>
      <c r="B46" s="179"/>
      <c r="C46" s="179"/>
      <c r="D46" s="213"/>
      <c r="E46" s="213"/>
      <c r="F46" s="180"/>
      <c r="G46" s="180"/>
      <c r="H46" s="35"/>
      <c r="I46" s="35"/>
    </row>
    <row r="47" spans="1:9" s="67" customFormat="1" ht="15">
      <c r="A47" s="67" t="s">
        <v>55</v>
      </c>
      <c r="C47" s="67" t="s">
        <v>49</v>
      </c>
      <c r="F47" s="67" t="s">
        <v>90</v>
      </c>
      <c r="H47" s="35"/>
      <c r="I47" s="35"/>
    </row>
    <row r="48" spans="6:9" s="67" customFormat="1" ht="15">
      <c r="F48" s="126" t="s">
        <v>545</v>
      </c>
      <c r="H48" s="35"/>
      <c r="I48" s="35"/>
    </row>
  </sheetData>
  <sheetProtection/>
  <mergeCells count="21">
    <mergeCell ref="A34:C34"/>
    <mergeCell ref="A12:I12"/>
    <mergeCell ref="A33:F33"/>
    <mergeCell ref="B42:C42"/>
    <mergeCell ref="B40:C40"/>
    <mergeCell ref="F41:G41"/>
    <mergeCell ref="A38:I38"/>
    <mergeCell ref="B41:C41"/>
    <mergeCell ref="F45:G45"/>
    <mergeCell ref="F40:G40"/>
    <mergeCell ref="B43:C43"/>
    <mergeCell ref="F43:G43"/>
    <mergeCell ref="F42:G42"/>
    <mergeCell ref="B44:C44"/>
    <mergeCell ref="F44:G44"/>
    <mergeCell ref="A1:I1"/>
    <mergeCell ref="A2:I2"/>
    <mergeCell ref="A5:I5"/>
    <mergeCell ref="A10:I10"/>
    <mergeCell ref="A3:K3"/>
    <mergeCell ref="A11:I1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2"/>
  <sheetViews>
    <sheetView zoomScalePageLayoutView="0" workbookViewId="0" topLeftCell="A36">
      <selection activeCell="A45" sqref="A45"/>
    </sheetView>
  </sheetViews>
  <sheetFormatPr defaultColWidth="9.140625" defaultRowHeight="15" outlineLevelCol="1"/>
  <cols>
    <col min="1" max="1" width="5.57421875" style="35" customWidth="1"/>
    <col min="2" max="2" width="46.00390625" style="35" customWidth="1"/>
    <col min="3" max="3" width="14.28125" style="35" customWidth="1"/>
    <col min="4" max="5" width="12.7109375" style="35" customWidth="1"/>
    <col min="6" max="6" width="15.140625" style="35" customWidth="1"/>
    <col min="7" max="7" width="13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5.7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6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6.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3.75" customHeight="1"/>
    <row r="7" spans="1:9" s="67" customFormat="1" ht="16.5" customHeight="1">
      <c r="A7" s="67" t="s">
        <v>2</v>
      </c>
      <c r="F7" s="126" t="s">
        <v>108</v>
      </c>
      <c r="H7" s="199">
        <v>21.3</v>
      </c>
      <c r="I7" s="199"/>
    </row>
    <row r="8" spans="1:10" s="67" customFormat="1" ht="15">
      <c r="A8" s="67" t="s">
        <v>3</v>
      </c>
      <c r="F8" s="291" t="s">
        <v>359</v>
      </c>
      <c r="H8" s="199">
        <f>618.5-H7</f>
        <v>597.2</v>
      </c>
      <c r="I8" s="199">
        <v>1788.4</v>
      </c>
      <c r="J8" s="199">
        <f>H8+I8+I7+H7</f>
        <v>2406.9000000000005</v>
      </c>
    </row>
    <row r="9" spans="2:10" s="67" customFormat="1" ht="15">
      <c r="B9" s="67" t="s">
        <v>507</v>
      </c>
      <c r="F9" s="291" t="s">
        <v>518</v>
      </c>
      <c r="H9" s="199"/>
      <c r="I9" s="199"/>
      <c r="J9" s="199"/>
    </row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336</v>
      </c>
      <c r="B14" s="64"/>
      <c r="C14" s="64"/>
      <c r="D14" s="69"/>
      <c r="E14" s="70"/>
      <c r="F14" s="70"/>
      <c r="G14" s="144">
        <f>'[2]Пролетарская 40'!$G$35</f>
        <v>98174.2145</v>
      </c>
      <c r="H14" s="62"/>
      <c r="I14" s="62"/>
    </row>
    <row r="15" s="67" customFormat="1" ht="6.75" customHeight="1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</row>
    <row r="17" spans="1:9" s="67" customFormat="1" ht="29.25">
      <c r="A17" s="75" t="s">
        <v>14</v>
      </c>
      <c r="B17" s="41" t="s">
        <v>15</v>
      </c>
      <c r="C17" s="135">
        <f>C18+C19+C20+C21</f>
        <v>10.34</v>
      </c>
      <c r="D17" s="76">
        <v>306433.56</v>
      </c>
      <c r="E17" s="76">
        <v>214130.66</v>
      </c>
      <c r="F17" s="76">
        <f aca="true" t="shared" si="0" ref="F17:F24">D17</f>
        <v>306433.56</v>
      </c>
      <c r="G17" s="77">
        <f>D17-E17</f>
        <v>92302.9</v>
      </c>
      <c r="H17" s="78">
        <f>C17</f>
        <v>10.34</v>
      </c>
      <c r="I17" s="167"/>
    </row>
    <row r="18" spans="1:9" s="67" customFormat="1" ht="15">
      <c r="A18" s="81" t="s">
        <v>16</v>
      </c>
      <c r="B18" s="34" t="s">
        <v>17</v>
      </c>
      <c r="C18" s="99">
        <v>3.46</v>
      </c>
      <c r="D18" s="83">
        <f>D17*I18</f>
        <v>102539.66321083173</v>
      </c>
      <c r="E18" s="83">
        <f>E17*I18</f>
        <v>71653.00615087041</v>
      </c>
      <c r="F18" s="83">
        <f t="shared" si="0"/>
        <v>102539.66321083173</v>
      </c>
      <c r="G18" s="84">
        <f>D18-E18</f>
        <v>30886.65705996132</v>
      </c>
      <c r="H18" s="78">
        <f>C18</f>
        <v>3.46</v>
      </c>
      <c r="I18" s="67">
        <f>H18/H17</f>
        <v>0.33462282398452614</v>
      </c>
    </row>
    <row r="19" spans="1:9" s="67" customFormat="1" ht="15">
      <c r="A19" s="81" t="s">
        <v>18</v>
      </c>
      <c r="B19" s="34" t="s">
        <v>19</v>
      </c>
      <c r="C19" s="99">
        <v>1.69</v>
      </c>
      <c r="D19" s="83">
        <f>D17*I19</f>
        <v>50084.40197292069</v>
      </c>
      <c r="E19" s="83">
        <f>E17*I19</f>
        <v>34998.14462282398</v>
      </c>
      <c r="F19" s="83">
        <f t="shared" si="0"/>
        <v>50084.40197292069</v>
      </c>
      <c r="G19" s="84">
        <f>D19-E19</f>
        <v>15086.257350096712</v>
      </c>
      <c r="H19" s="78">
        <f>C19</f>
        <v>1.69</v>
      </c>
      <c r="I19" s="67">
        <f>H19/H17</f>
        <v>0.1634429400386847</v>
      </c>
    </row>
    <row r="20" spans="1:9" s="67" customFormat="1" ht="15">
      <c r="A20" s="81" t="s">
        <v>20</v>
      </c>
      <c r="B20" s="34" t="s">
        <v>21</v>
      </c>
      <c r="C20" s="99">
        <v>2.15</v>
      </c>
      <c r="D20" s="83">
        <f>D17*I20</f>
        <v>63716.84274661509</v>
      </c>
      <c r="E20" s="83">
        <f>E17*I20</f>
        <v>44524.266827852996</v>
      </c>
      <c r="F20" s="83">
        <f t="shared" si="0"/>
        <v>63716.84274661509</v>
      </c>
      <c r="G20" s="84">
        <f>D20-E20</f>
        <v>19192.575918762093</v>
      </c>
      <c r="H20" s="78">
        <f>C20</f>
        <v>2.15</v>
      </c>
      <c r="I20" s="67">
        <f>H20/H17</f>
        <v>0.2079303675048356</v>
      </c>
    </row>
    <row r="21" spans="1:9" s="67" customFormat="1" ht="15">
      <c r="A21" s="81" t="s">
        <v>22</v>
      </c>
      <c r="B21" s="34" t="s">
        <v>23</v>
      </c>
      <c r="C21" s="99">
        <v>3.04</v>
      </c>
      <c r="D21" s="83">
        <f>D17*I21</f>
        <v>90092.6520696325</v>
      </c>
      <c r="E21" s="83">
        <f>E17*I21</f>
        <v>62955.24239845262</v>
      </c>
      <c r="F21" s="83">
        <f t="shared" si="0"/>
        <v>90092.6520696325</v>
      </c>
      <c r="G21" s="84">
        <f>D21-E21</f>
        <v>27137.409671179885</v>
      </c>
      <c r="H21" s="78">
        <f>C21</f>
        <v>3.04</v>
      </c>
      <c r="I21" s="67">
        <f>H21/H17</f>
        <v>0.2940038684719536</v>
      </c>
    </row>
    <row r="22" spans="1:9" ht="15">
      <c r="A22" s="41" t="s">
        <v>25</v>
      </c>
      <c r="B22" s="86" t="s">
        <v>462</v>
      </c>
      <c r="C22" s="141">
        <v>130</v>
      </c>
      <c r="D22" s="77">
        <v>80730</v>
      </c>
      <c r="E22" s="77">
        <v>52513.68</v>
      </c>
      <c r="F22" s="76">
        <f t="shared" si="0"/>
        <v>80730</v>
      </c>
      <c r="G22" s="77">
        <f aca="true" t="shared" si="1" ref="G22:G31">D22-E22</f>
        <v>28216.32</v>
      </c>
      <c r="H22" s="39">
        <f>70*130</f>
        <v>9100</v>
      </c>
      <c r="I22" s="356">
        <f>D22/H22</f>
        <v>8.871428571428572</v>
      </c>
    </row>
    <row r="23" spans="1:9" ht="15">
      <c r="A23" s="41" t="s">
        <v>27</v>
      </c>
      <c r="B23" s="41" t="s">
        <v>28</v>
      </c>
      <c r="C23" s="141">
        <v>0</v>
      </c>
      <c r="D23" s="77">
        <v>0</v>
      </c>
      <c r="E23" s="77">
        <v>0</v>
      </c>
      <c r="F23" s="77">
        <f t="shared" si="0"/>
        <v>0</v>
      </c>
      <c r="G23" s="77">
        <f t="shared" si="1"/>
        <v>0</v>
      </c>
      <c r="H23" s="39"/>
      <c r="I23" s="39"/>
    </row>
    <row r="24" spans="1:9" ht="15">
      <c r="A24" s="41" t="s">
        <v>29</v>
      </c>
      <c r="B24" s="41" t="s">
        <v>30</v>
      </c>
      <c r="C24" s="141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  <c r="H24" s="39"/>
      <c r="I24" s="39"/>
    </row>
    <row r="25" spans="1:9" ht="15">
      <c r="A25" s="41" t="s">
        <v>31</v>
      </c>
      <c r="B25" s="41" t="s">
        <v>116</v>
      </c>
      <c r="C25" s="141">
        <v>2.06</v>
      </c>
      <c r="D25" s="77">
        <v>55647.59</v>
      </c>
      <c r="E25" s="77">
        <v>38019.27</v>
      </c>
      <c r="F25" s="87">
        <f>F43</f>
        <v>10944.8027</v>
      </c>
      <c r="G25" s="77">
        <f t="shared" si="1"/>
        <v>17628.32</v>
      </c>
      <c r="H25" s="39"/>
      <c r="I25" s="39"/>
    </row>
    <row r="26" spans="1:9" ht="15">
      <c r="A26" s="211">
        <v>6</v>
      </c>
      <c r="B26" s="86" t="s">
        <v>161</v>
      </c>
      <c r="C26" s="135" t="s">
        <v>297</v>
      </c>
      <c r="D26" s="77">
        <v>0</v>
      </c>
      <c r="E26" s="77">
        <v>0</v>
      </c>
      <c r="F26" s="87">
        <f>D26</f>
        <v>0</v>
      </c>
      <c r="G26" s="77">
        <f t="shared" si="1"/>
        <v>0</v>
      </c>
      <c r="H26" s="39"/>
      <c r="I26" s="39"/>
    </row>
    <row r="27" spans="1:9" ht="15">
      <c r="A27" s="211">
        <f>A26+1</f>
        <v>7</v>
      </c>
      <c r="B27" s="41" t="s">
        <v>36</v>
      </c>
      <c r="C27" s="142"/>
      <c r="D27" s="77">
        <f>SUM(D28:D31)</f>
        <v>1141497.47</v>
      </c>
      <c r="E27" s="77">
        <f>SUM(E28:E31)</f>
        <v>961189.3</v>
      </c>
      <c r="F27" s="77">
        <f>SUM(F28:F31)</f>
        <v>1141497.47</v>
      </c>
      <c r="G27" s="77">
        <f t="shared" si="1"/>
        <v>180308.16999999993</v>
      </c>
      <c r="H27" s="39"/>
      <c r="I27" s="39"/>
    </row>
    <row r="28" spans="1:7" ht="15">
      <c r="A28" s="212" t="s">
        <v>37</v>
      </c>
      <c r="B28" s="34" t="s">
        <v>93</v>
      </c>
      <c r="C28" s="285">
        <v>6</v>
      </c>
      <c r="D28" s="84">
        <v>35570.3</v>
      </c>
      <c r="E28" s="84">
        <v>30470.01</v>
      </c>
      <c r="F28" s="84">
        <f>D28</f>
        <v>35570.3</v>
      </c>
      <c r="G28" s="84">
        <f t="shared" si="1"/>
        <v>5100.2900000000045</v>
      </c>
    </row>
    <row r="29" spans="1:7" ht="15">
      <c r="A29" s="212" t="s">
        <v>39</v>
      </c>
      <c r="B29" s="34" t="s">
        <v>137</v>
      </c>
      <c r="C29" s="285">
        <v>57.08</v>
      </c>
      <c r="D29" s="84">
        <v>207596.02</v>
      </c>
      <c r="E29" s="84">
        <v>172639.19</v>
      </c>
      <c r="F29" s="84">
        <f>D29</f>
        <v>207596.02</v>
      </c>
      <c r="G29" s="84">
        <f t="shared" si="1"/>
        <v>34956.82999999999</v>
      </c>
    </row>
    <row r="30" spans="1:7" ht="15">
      <c r="A30" s="212" t="s">
        <v>42</v>
      </c>
      <c r="B30" s="34" t="s">
        <v>340</v>
      </c>
      <c r="C30" s="286">
        <v>211.65</v>
      </c>
      <c r="D30" s="84">
        <v>378619.42</v>
      </c>
      <c r="E30" s="84">
        <v>314003.82</v>
      </c>
      <c r="F30" s="84">
        <f>D30</f>
        <v>378619.42</v>
      </c>
      <c r="G30" s="84">
        <f t="shared" si="1"/>
        <v>64615.59999999998</v>
      </c>
    </row>
    <row r="31" spans="1:7" ht="15">
      <c r="A31" s="212" t="s">
        <v>41</v>
      </c>
      <c r="B31" s="34" t="s">
        <v>43</v>
      </c>
      <c r="C31" s="285">
        <v>2638.8</v>
      </c>
      <c r="D31" s="84">
        <v>519711.73</v>
      </c>
      <c r="E31" s="84">
        <v>444076.28</v>
      </c>
      <c r="F31" s="84">
        <f>D31</f>
        <v>519711.73</v>
      </c>
      <c r="G31" s="84">
        <f t="shared" si="1"/>
        <v>75635.44999999995</v>
      </c>
    </row>
    <row r="32" spans="1:10" s="102" customFormat="1" ht="19.5" customHeight="1" thickBot="1">
      <c r="A32" s="446" t="s">
        <v>294</v>
      </c>
      <c r="B32" s="447"/>
      <c r="C32" s="447"/>
      <c r="D32" s="448"/>
      <c r="E32" s="448"/>
      <c r="F32" s="448"/>
      <c r="G32" s="101"/>
      <c r="H32" s="101"/>
      <c r="I32" s="101"/>
      <c r="J32" s="101"/>
    </row>
    <row r="33" spans="1:9" s="67" customFormat="1" ht="15.75" thickBot="1">
      <c r="A33" s="455" t="s">
        <v>413</v>
      </c>
      <c r="B33" s="456"/>
      <c r="C33" s="456"/>
      <c r="D33" s="65">
        <v>3311406.16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415</v>
      </c>
      <c r="B35" s="64"/>
      <c r="C35" s="64"/>
      <c r="D35" s="69"/>
      <c r="E35" s="70"/>
      <c r="F35" s="70"/>
      <c r="G35" s="144">
        <f>G14+E25-F25</f>
        <v>125248.68179999999</v>
      </c>
      <c r="H35" s="62"/>
      <c r="I35" s="62"/>
    </row>
    <row r="36" spans="1:9" s="67" customFormat="1" ht="15">
      <c r="A36" s="516" t="s">
        <v>144</v>
      </c>
      <c r="B36" s="516"/>
      <c r="C36" s="68"/>
      <c r="D36" s="40"/>
      <c r="E36" s="66"/>
      <c r="F36" s="66"/>
      <c r="G36" s="40"/>
      <c r="H36" s="62"/>
      <c r="I36" s="62"/>
    </row>
    <row r="37" spans="1:9" s="67" customFormat="1" ht="15">
      <c r="A37" s="517" t="s">
        <v>344</v>
      </c>
      <c r="B37" s="518"/>
      <c r="C37" s="311" t="s">
        <v>146</v>
      </c>
      <c r="D37" s="311" t="s">
        <v>147</v>
      </c>
      <c r="E37" s="312" t="s">
        <v>148</v>
      </c>
      <c r="F37" s="313" t="s">
        <v>149</v>
      </c>
      <c r="G37" s="312" t="s">
        <v>150</v>
      </c>
      <c r="H37" s="62"/>
      <c r="I37" s="62"/>
    </row>
    <row r="38" spans="1:9" s="67" customFormat="1" ht="15">
      <c r="A38" s="519"/>
      <c r="B38" s="520"/>
      <c r="C38" s="294">
        <f>266.7+76.4+146.3+107.8</f>
        <v>597.2</v>
      </c>
      <c r="D38" s="314">
        <f>E38/C38/12</f>
        <v>15.904341091761552</v>
      </c>
      <c r="E38" s="309">
        <f>84437.44+6978.51+22560.92</f>
        <v>113976.87</v>
      </c>
      <c r="F38" s="315">
        <f>77277.67+1683.64+19718.84</f>
        <v>98680.15</v>
      </c>
      <c r="G38" s="314">
        <f>E38-F38</f>
        <v>15296.720000000001</v>
      </c>
      <c r="H38" s="62"/>
      <c r="I38" s="62"/>
    </row>
    <row r="39" spans="1:9" s="67" customFormat="1" ht="15">
      <c r="A39" s="68"/>
      <c r="B39" s="68"/>
      <c r="C39" s="68"/>
      <c r="D39" s="40"/>
      <c r="E39" s="66"/>
      <c r="F39" s="66"/>
      <c r="G39" s="40"/>
      <c r="H39" s="62"/>
      <c r="I39" s="62"/>
    </row>
    <row r="40" spans="1:9" ht="26.25" customHeight="1">
      <c r="A40" s="537" t="s">
        <v>44</v>
      </c>
      <c r="B40" s="537"/>
      <c r="C40" s="537"/>
      <c r="D40" s="537"/>
      <c r="E40" s="537"/>
      <c r="F40" s="537"/>
      <c r="G40" s="537"/>
      <c r="H40" s="537"/>
      <c r="I40" s="537"/>
    </row>
    <row r="41" ht="3.75" customHeight="1"/>
    <row r="42" spans="1:7" s="171" customFormat="1" ht="28.5" customHeight="1">
      <c r="A42" s="105" t="s">
        <v>11</v>
      </c>
      <c r="B42" s="471" t="s">
        <v>45</v>
      </c>
      <c r="C42" s="484"/>
      <c r="D42" s="105" t="s">
        <v>163</v>
      </c>
      <c r="E42" s="105" t="s">
        <v>162</v>
      </c>
      <c r="F42" s="471" t="s">
        <v>46</v>
      </c>
      <c r="G42" s="484"/>
    </row>
    <row r="43" spans="1:7" s="114" customFormat="1" ht="13.5" customHeight="1">
      <c r="A43" s="109" t="s">
        <v>47</v>
      </c>
      <c r="B43" s="473" t="s">
        <v>111</v>
      </c>
      <c r="C43" s="491"/>
      <c r="D43" s="110"/>
      <c r="E43" s="110"/>
      <c r="F43" s="496">
        <f>SUM(F44:L47)</f>
        <v>10944.8027</v>
      </c>
      <c r="G43" s="483"/>
    </row>
    <row r="44" spans="1:7" s="114" customFormat="1" ht="13.5" customHeight="1">
      <c r="A44" s="34" t="s">
        <v>16</v>
      </c>
      <c r="B44" s="462" t="s">
        <v>608</v>
      </c>
      <c r="C44" s="498"/>
      <c r="D44" s="404" t="s">
        <v>216</v>
      </c>
      <c r="E44" s="406">
        <v>0.07</v>
      </c>
      <c r="F44" s="482">
        <v>10564.61</v>
      </c>
      <c r="G44" s="482"/>
    </row>
    <row r="45" spans="1:7" s="114" customFormat="1" ht="18" customHeight="1">
      <c r="A45" s="34" t="s">
        <v>18</v>
      </c>
      <c r="B45" s="462"/>
      <c r="C45" s="498"/>
      <c r="D45" s="404"/>
      <c r="E45" s="406"/>
      <c r="F45" s="482"/>
      <c r="G45" s="482"/>
    </row>
    <row r="46" spans="1:7" s="114" customFormat="1" ht="15.75" customHeight="1">
      <c r="A46" s="34" t="s">
        <v>20</v>
      </c>
      <c r="B46" s="462"/>
      <c r="C46" s="498"/>
      <c r="D46" s="404"/>
      <c r="E46" s="406"/>
      <c r="F46" s="482"/>
      <c r="G46" s="482"/>
    </row>
    <row r="47" spans="1:7" ht="15">
      <c r="A47" s="34" t="s">
        <v>22</v>
      </c>
      <c r="B47" s="148" t="s">
        <v>188</v>
      </c>
      <c r="C47" s="149"/>
      <c r="D47" s="118"/>
      <c r="E47" s="118"/>
      <c r="F47" s="495">
        <f>E25*1%</f>
        <v>380.1927</v>
      </c>
      <c r="G47" s="495"/>
    </row>
    <row r="48" spans="1:7" ht="15">
      <c r="A48" s="67"/>
      <c r="B48" s="67"/>
      <c r="C48" s="67"/>
      <c r="D48" s="67"/>
      <c r="E48" s="67"/>
      <c r="F48" s="67"/>
      <c r="G48" s="67"/>
    </row>
    <row r="49" spans="1:7" ht="15">
      <c r="A49" s="67" t="s">
        <v>55</v>
      </c>
      <c r="B49" s="67"/>
      <c r="C49" s="67" t="s">
        <v>49</v>
      </c>
      <c r="D49" s="67"/>
      <c r="E49" s="67"/>
      <c r="F49" s="67" t="s">
        <v>90</v>
      </c>
      <c r="G49" s="67"/>
    </row>
    <row r="50" spans="1:7" ht="15">
      <c r="A50" s="67"/>
      <c r="B50" s="67"/>
      <c r="C50" s="67"/>
      <c r="D50" s="67"/>
      <c r="E50" s="67"/>
      <c r="F50" s="126" t="s">
        <v>545</v>
      </c>
      <c r="G50" s="67"/>
    </row>
    <row r="51" spans="1:7" ht="15">
      <c r="A51" s="67" t="s">
        <v>50</v>
      </c>
      <c r="B51" s="67"/>
      <c r="C51" s="67"/>
      <c r="D51" s="67"/>
      <c r="E51" s="67"/>
      <c r="F51" s="67"/>
      <c r="G51" s="67"/>
    </row>
    <row r="52" spans="1:7" ht="15">
      <c r="A52" s="67"/>
      <c r="B52" s="67"/>
      <c r="C52" s="128" t="s">
        <v>51</v>
      </c>
      <c r="D52" s="67"/>
      <c r="E52" s="128"/>
      <c r="F52" s="128"/>
      <c r="G52" s="128"/>
    </row>
  </sheetData>
  <sheetProtection/>
  <mergeCells count="23">
    <mergeCell ref="A1:I1"/>
    <mergeCell ref="A2:I2"/>
    <mergeCell ref="A5:I5"/>
    <mergeCell ref="A10:I10"/>
    <mergeCell ref="A3:K3"/>
    <mergeCell ref="A40:I40"/>
    <mergeCell ref="A11:I11"/>
    <mergeCell ref="F47:G47"/>
    <mergeCell ref="F42:G42"/>
    <mergeCell ref="A33:C33"/>
    <mergeCell ref="B44:C44"/>
    <mergeCell ref="A36:B36"/>
    <mergeCell ref="A12:I12"/>
    <mergeCell ref="B45:C45"/>
    <mergeCell ref="F45:G45"/>
    <mergeCell ref="B46:C46"/>
    <mergeCell ref="F46:G46"/>
    <mergeCell ref="F44:G44"/>
    <mergeCell ref="F43:G43"/>
    <mergeCell ref="B42:C42"/>
    <mergeCell ref="B43:C43"/>
    <mergeCell ref="A32:F32"/>
    <mergeCell ref="A37:B38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7030A0"/>
  </sheetPr>
  <dimension ref="A1:K50"/>
  <sheetViews>
    <sheetView zoomScalePageLayoutView="0" workbookViewId="0" topLeftCell="A34">
      <selection activeCell="A44" sqref="A44"/>
    </sheetView>
  </sheetViews>
  <sheetFormatPr defaultColWidth="9.140625" defaultRowHeight="15" outlineLevelCol="1"/>
  <cols>
    <col min="1" max="1" width="4.7109375" style="35" customWidth="1"/>
    <col min="2" max="2" width="40.28125" style="35" customWidth="1"/>
    <col min="3" max="3" width="13.421875" style="35" customWidth="1"/>
    <col min="4" max="5" width="12.7109375" style="35" customWidth="1"/>
    <col min="6" max="6" width="15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6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4.2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3" customHeight="1"/>
    <row r="7" spans="1:6" s="67" customFormat="1" ht="16.5" customHeight="1">
      <c r="A7" s="67" t="s">
        <v>2</v>
      </c>
      <c r="F7" s="126" t="s">
        <v>109</v>
      </c>
    </row>
    <row r="8" spans="1:6" s="67" customFormat="1" ht="15">
      <c r="A8" s="67" t="s">
        <v>3</v>
      </c>
      <c r="F8" s="291" t="s">
        <v>110</v>
      </c>
    </row>
    <row r="9" s="67" customFormat="1" ht="6" customHeight="1"/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'[2]Чижевского 4'!$G$36</f>
        <v>-7060.03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'[2]Чижевского 4'!$G$37</f>
        <v>-264045.30069999996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9" s="67" customFormat="1" ht="29.25">
      <c r="A18" s="75" t="s">
        <v>14</v>
      </c>
      <c r="B18" s="41" t="s">
        <v>15</v>
      </c>
      <c r="C18" s="135">
        <f>C19+C20+C21+C22</f>
        <v>10.34</v>
      </c>
      <c r="D18" s="76">
        <v>177186.24</v>
      </c>
      <c r="E18" s="76">
        <v>182396.24</v>
      </c>
      <c r="F18" s="76">
        <f aca="true" t="shared" si="0" ref="F18:F24">D18</f>
        <v>177186.24</v>
      </c>
      <c r="G18" s="77">
        <f>D18-E18</f>
        <v>-5210</v>
      </c>
      <c r="H18" s="78">
        <f>C18</f>
        <v>10.34</v>
      </c>
      <c r="I18" s="167"/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59290.560000000005</v>
      </c>
      <c r="E19" s="83">
        <f>E18*I19</f>
        <v>61033.944912959385</v>
      </c>
      <c r="F19" s="83">
        <f t="shared" si="0"/>
        <v>59290.560000000005</v>
      </c>
      <c r="G19" s="84">
        <f>D19-E19</f>
        <v>-1743.38491295938</v>
      </c>
      <c r="H19" s="78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28959.839999999997</v>
      </c>
      <c r="E20" s="83">
        <f>E18*I20</f>
        <v>29811.377717601543</v>
      </c>
      <c r="F20" s="83">
        <f t="shared" si="0"/>
        <v>28959.839999999997</v>
      </c>
      <c r="G20" s="84">
        <f>D20-E20</f>
        <v>-851.5377176015463</v>
      </c>
      <c r="H20" s="78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36842.4</v>
      </c>
      <c r="E21" s="83">
        <f>E18*I21</f>
        <v>37925.71721470019</v>
      </c>
      <c r="F21" s="83">
        <f t="shared" si="0"/>
        <v>36842.4</v>
      </c>
      <c r="G21" s="84">
        <f>D21-E21</f>
        <v>-1083.3172147001897</v>
      </c>
      <c r="H21" s="78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52093.44</v>
      </c>
      <c r="E22" s="83">
        <f>E18*I22</f>
        <v>53625.20015473888</v>
      </c>
      <c r="F22" s="83">
        <f t="shared" si="0"/>
        <v>52093.44</v>
      </c>
      <c r="G22" s="84">
        <f>D22-E22</f>
        <v>-1531.7601547388767</v>
      </c>
      <c r="H22" s="78">
        <f>C22</f>
        <v>3.04</v>
      </c>
      <c r="I22" s="67">
        <f>H22/H18</f>
        <v>0.2940038684719536</v>
      </c>
    </row>
    <row r="23" spans="1:9" ht="15">
      <c r="A23" s="41" t="s">
        <v>25</v>
      </c>
      <c r="B23" s="41" t="s">
        <v>26</v>
      </c>
      <c r="C23" s="141">
        <v>0</v>
      </c>
      <c r="D23" s="77">
        <v>0</v>
      </c>
      <c r="E23" s="77">
        <v>0</v>
      </c>
      <c r="F23" s="76">
        <f t="shared" si="0"/>
        <v>0</v>
      </c>
      <c r="G23" s="77">
        <f aca="true" t="shared" si="1" ref="G23:G32">D23-E23</f>
        <v>0</v>
      </c>
      <c r="H23" s="39"/>
      <c r="I23" s="39"/>
    </row>
    <row r="24" spans="1:9" ht="15">
      <c r="A24" s="41" t="s">
        <v>27</v>
      </c>
      <c r="B24" s="41" t="s">
        <v>28</v>
      </c>
      <c r="C24" s="141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  <c r="H24" s="39"/>
      <c r="I24" s="39"/>
    </row>
    <row r="25" spans="1:9" ht="15">
      <c r="A25" s="41" t="s">
        <v>29</v>
      </c>
      <c r="B25" s="41" t="s">
        <v>92</v>
      </c>
      <c r="C25" s="141">
        <v>0</v>
      </c>
      <c r="D25" s="77">
        <v>0</v>
      </c>
      <c r="E25" s="77">
        <v>0</v>
      </c>
      <c r="F25" s="77">
        <v>0</v>
      </c>
      <c r="G25" s="77">
        <f t="shared" si="1"/>
        <v>0</v>
      </c>
      <c r="H25" s="39"/>
      <c r="I25" s="39"/>
    </row>
    <row r="26" spans="1:9" ht="15">
      <c r="A26" s="41" t="s">
        <v>31</v>
      </c>
      <c r="B26" s="41" t="s">
        <v>116</v>
      </c>
      <c r="C26" s="141">
        <v>3</v>
      </c>
      <c r="D26" s="77">
        <v>51408</v>
      </c>
      <c r="E26" s="77">
        <v>52919.6</v>
      </c>
      <c r="F26" s="87">
        <f>F42</f>
        <v>95629.196</v>
      </c>
      <c r="G26" s="77">
        <f t="shared" si="1"/>
        <v>-1511.5999999999985</v>
      </c>
      <c r="H26" s="39"/>
      <c r="I26" s="39"/>
    </row>
    <row r="27" spans="1:9" ht="15">
      <c r="A27" s="211">
        <v>6</v>
      </c>
      <c r="B27" s="86" t="s">
        <v>161</v>
      </c>
      <c r="C27" s="135">
        <v>0</v>
      </c>
      <c r="D27" s="77">
        <v>0</v>
      </c>
      <c r="E27" s="77">
        <v>0</v>
      </c>
      <c r="F27" s="87">
        <f>D27</f>
        <v>0</v>
      </c>
      <c r="G27" s="77">
        <f t="shared" si="1"/>
        <v>0</v>
      </c>
      <c r="H27" s="39"/>
      <c r="I27" s="39"/>
    </row>
    <row r="28" spans="1:9" ht="15">
      <c r="A28" s="211">
        <f>A27+1</f>
        <v>7</v>
      </c>
      <c r="B28" s="41" t="s">
        <v>36</v>
      </c>
      <c r="C28" s="142"/>
      <c r="D28" s="77">
        <f>SUM(D29:D32)</f>
        <v>960231.79</v>
      </c>
      <c r="E28" s="77">
        <f>SUM(E29:E32)</f>
        <v>1034609.71</v>
      </c>
      <c r="F28" s="77">
        <f>SUM(F29:F32)</f>
        <v>960231.79</v>
      </c>
      <c r="G28" s="77">
        <f t="shared" si="1"/>
        <v>-74377.91999999993</v>
      </c>
      <c r="H28" s="39"/>
      <c r="I28" s="39"/>
    </row>
    <row r="29" spans="1:7" ht="15">
      <c r="A29" s="212" t="s">
        <v>37</v>
      </c>
      <c r="B29" s="34" t="s">
        <v>93</v>
      </c>
      <c r="C29" s="285">
        <v>6</v>
      </c>
      <c r="D29" s="84">
        <v>15191.04</v>
      </c>
      <c r="E29" s="84">
        <v>15592.31</v>
      </c>
      <c r="F29" s="84">
        <f>D29</f>
        <v>15191.04</v>
      </c>
      <c r="G29" s="84">
        <f t="shared" si="1"/>
        <v>-401.2699999999986</v>
      </c>
    </row>
    <row r="30" spans="1:7" ht="15">
      <c r="A30" s="212" t="s">
        <v>39</v>
      </c>
      <c r="B30" s="34" t="s">
        <v>137</v>
      </c>
      <c r="C30" s="285">
        <v>57.08</v>
      </c>
      <c r="D30" s="84">
        <v>131577.14</v>
      </c>
      <c r="E30" s="84">
        <v>155825.47</v>
      </c>
      <c r="F30" s="84">
        <f>D30</f>
        <v>131577.14</v>
      </c>
      <c r="G30" s="84">
        <f t="shared" si="1"/>
        <v>-24248.329999999987</v>
      </c>
    </row>
    <row r="31" spans="1:7" ht="15">
      <c r="A31" s="212" t="s">
        <v>42</v>
      </c>
      <c r="B31" s="34" t="s">
        <v>340</v>
      </c>
      <c r="C31" s="286">
        <v>211.65</v>
      </c>
      <c r="D31" s="84">
        <v>190955.78</v>
      </c>
      <c r="E31" s="84">
        <v>223276.41</v>
      </c>
      <c r="F31" s="84">
        <f>D31</f>
        <v>190955.78</v>
      </c>
      <c r="G31" s="84">
        <f t="shared" si="1"/>
        <v>-32320.630000000005</v>
      </c>
    </row>
    <row r="32" spans="1:7" ht="15">
      <c r="A32" s="212" t="s">
        <v>41</v>
      </c>
      <c r="B32" s="34" t="s">
        <v>43</v>
      </c>
      <c r="C32" s="285">
        <v>2638.8</v>
      </c>
      <c r="D32" s="84">
        <v>622507.83</v>
      </c>
      <c r="E32" s="84">
        <v>639915.52</v>
      </c>
      <c r="F32" s="84">
        <f>D32</f>
        <v>622507.83</v>
      </c>
      <c r="G32" s="84">
        <f t="shared" si="1"/>
        <v>-17407.69000000006</v>
      </c>
    </row>
    <row r="33" spans="1:10" s="102" customFormat="1" ht="5.25" customHeight="1" thickBot="1">
      <c r="A33" s="104"/>
      <c r="B33" s="104"/>
      <c r="C33" s="104"/>
      <c r="D33" s="101"/>
      <c r="E33" s="101"/>
      <c r="F33" s="101"/>
      <c r="G33" s="101"/>
      <c r="H33" s="101"/>
      <c r="I33" s="101"/>
      <c r="J33" s="101"/>
    </row>
    <row r="34" spans="1:9" s="67" customFormat="1" ht="15.75" thickBot="1">
      <c r="A34" s="455" t="s">
        <v>413</v>
      </c>
      <c r="B34" s="456"/>
      <c r="C34" s="456"/>
      <c r="D34" s="65">
        <v>183647.89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440</v>
      </c>
      <c r="B36" s="64"/>
      <c r="C36" s="64"/>
      <c r="D36" s="69"/>
      <c r="E36" s="70"/>
      <c r="F36" s="70"/>
      <c r="G36" s="144">
        <f>G14+E25-F25</f>
        <v>-7060.03</v>
      </c>
      <c r="H36" s="62"/>
      <c r="I36" s="62"/>
    </row>
    <row r="37" spans="1:9" s="67" customFormat="1" ht="15.75" thickBot="1">
      <c r="A37" s="63" t="s">
        <v>415</v>
      </c>
      <c r="B37" s="64"/>
      <c r="C37" s="64"/>
      <c r="D37" s="69"/>
      <c r="E37" s="70"/>
      <c r="F37" s="70"/>
      <c r="G37" s="144">
        <f>G15+E26-F26</f>
        <v>-306754.8966999999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s="67" customFormat="1" ht="25.5" customHeight="1">
      <c r="A39" s="537" t="s">
        <v>44</v>
      </c>
      <c r="B39" s="537"/>
      <c r="C39" s="537"/>
      <c r="D39" s="537"/>
      <c r="E39" s="537"/>
      <c r="F39" s="537"/>
      <c r="G39" s="537"/>
      <c r="H39" s="537"/>
      <c r="I39" s="537"/>
    </row>
    <row r="41" spans="1:9" ht="28.5">
      <c r="A41" s="105" t="s">
        <v>11</v>
      </c>
      <c r="B41" s="471" t="s">
        <v>45</v>
      </c>
      <c r="C41" s="484"/>
      <c r="D41" s="105" t="s">
        <v>163</v>
      </c>
      <c r="E41" s="105" t="s">
        <v>162</v>
      </c>
      <c r="F41" s="471" t="s">
        <v>46</v>
      </c>
      <c r="G41" s="484"/>
      <c r="H41" s="171"/>
      <c r="I41" s="171"/>
    </row>
    <row r="42" spans="1:9" s="171" customFormat="1" ht="15">
      <c r="A42" s="109" t="s">
        <v>47</v>
      </c>
      <c r="B42" s="473" t="s">
        <v>111</v>
      </c>
      <c r="C42" s="491"/>
      <c r="D42" s="110"/>
      <c r="E42" s="110"/>
      <c r="F42" s="496">
        <f>SUM(F43:L45)</f>
        <v>95629.196</v>
      </c>
      <c r="G42" s="483"/>
      <c r="H42" s="114"/>
      <c r="I42" s="114"/>
    </row>
    <row r="43" spans="1:7" ht="24.75" customHeight="1">
      <c r="A43" s="34" t="s">
        <v>16</v>
      </c>
      <c r="B43" s="462" t="s">
        <v>564</v>
      </c>
      <c r="C43" s="489"/>
      <c r="D43" s="118"/>
      <c r="E43" s="337"/>
      <c r="F43" s="624">
        <v>88100</v>
      </c>
      <c r="G43" s="625"/>
    </row>
    <row r="44" spans="1:7" ht="25.5" customHeight="1">
      <c r="A44" s="34" t="s">
        <v>18</v>
      </c>
      <c r="B44" s="462" t="s">
        <v>609</v>
      </c>
      <c r="C44" s="489"/>
      <c r="D44" s="118"/>
      <c r="E44" s="403"/>
      <c r="F44" s="624">
        <v>7000</v>
      </c>
      <c r="G44" s="625"/>
    </row>
    <row r="45" spans="1:7" ht="13.5" customHeight="1">
      <c r="A45" s="34" t="s">
        <v>20</v>
      </c>
      <c r="B45" s="148" t="s">
        <v>188</v>
      </c>
      <c r="C45" s="149"/>
      <c r="D45" s="118"/>
      <c r="E45" s="118"/>
      <c r="F45" s="495">
        <f>E26*1%</f>
        <v>529.196</v>
      </c>
      <c r="G45" s="495"/>
    </row>
    <row r="46" spans="8:9" s="67" customFormat="1" ht="6" customHeight="1">
      <c r="H46" s="35"/>
      <c r="I46" s="35"/>
    </row>
    <row r="47" spans="1:9" s="67" customFormat="1" ht="15">
      <c r="A47" s="67" t="s">
        <v>55</v>
      </c>
      <c r="C47" s="67" t="s">
        <v>49</v>
      </c>
      <c r="F47" s="67" t="s">
        <v>90</v>
      </c>
      <c r="H47" s="35"/>
      <c r="I47" s="35"/>
    </row>
    <row r="48" spans="6:9" s="67" customFormat="1" ht="12.75" customHeight="1">
      <c r="F48" s="126" t="s">
        <v>545</v>
      </c>
      <c r="H48" s="35"/>
      <c r="I48" s="35"/>
    </row>
    <row r="49" spans="1:9" s="67" customFormat="1" ht="15">
      <c r="A49" s="67" t="s">
        <v>50</v>
      </c>
      <c r="H49" s="35"/>
      <c r="I49" s="35"/>
    </row>
    <row r="50" spans="3:9" s="67" customFormat="1" ht="15">
      <c r="C50" s="128" t="s">
        <v>51</v>
      </c>
      <c r="E50" s="128"/>
      <c r="F50" s="128"/>
      <c r="G50" s="128"/>
      <c r="H50" s="35"/>
      <c r="I50" s="35"/>
    </row>
    <row r="51" s="67" customFormat="1" ht="15"/>
    <row r="52" s="67" customFormat="1" ht="15"/>
  </sheetData>
  <sheetProtection/>
  <mergeCells count="18">
    <mergeCell ref="F42:G42"/>
    <mergeCell ref="B42:C42"/>
    <mergeCell ref="F45:G45"/>
    <mergeCell ref="F43:G43"/>
    <mergeCell ref="B43:C43"/>
    <mergeCell ref="A34:C34"/>
    <mergeCell ref="B44:C44"/>
    <mergeCell ref="F44:G44"/>
    <mergeCell ref="A1:I1"/>
    <mergeCell ref="A2:I2"/>
    <mergeCell ref="A5:I5"/>
    <mergeCell ref="A10:I10"/>
    <mergeCell ref="A39:I39"/>
    <mergeCell ref="B41:C41"/>
    <mergeCell ref="F41:G41"/>
    <mergeCell ref="A11:I11"/>
    <mergeCell ref="A3:K3"/>
    <mergeCell ref="A12:I12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</sheetPr>
  <dimension ref="A1:K58"/>
  <sheetViews>
    <sheetView zoomScalePageLayoutView="0" workbookViewId="0" topLeftCell="A43">
      <selection activeCell="F51" sqref="F51:G51"/>
    </sheetView>
  </sheetViews>
  <sheetFormatPr defaultColWidth="9.140625" defaultRowHeight="15" outlineLevelCol="1"/>
  <cols>
    <col min="1" max="1" width="4.7109375" style="35" customWidth="1"/>
    <col min="2" max="2" width="47.8515625" style="35" customWidth="1"/>
    <col min="3" max="3" width="13.00390625" style="35" customWidth="1"/>
    <col min="4" max="5" width="12.7109375" style="35" customWidth="1"/>
    <col min="6" max="6" width="15.281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6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4.2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3" customHeight="1"/>
    <row r="7" spans="1:6" s="67" customFormat="1" ht="16.5" customHeight="1">
      <c r="A7" s="67" t="s">
        <v>2</v>
      </c>
      <c r="F7" s="126" t="s">
        <v>126</v>
      </c>
    </row>
    <row r="8" spans="1:11" s="67" customFormat="1" ht="15">
      <c r="A8" s="67" t="s">
        <v>3</v>
      </c>
      <c r="F8" s="291" t="s">
        <v>441</v>
      </c>
      <c r="I8" s="199">
        <v>16</v>
      </c>
      <c r="J8" s="199">
        <f>3826.5+4.9</f>
        <v>3831.4</v>
      </c>
      <c r="K8" s="199">
        <f>I8+J8</f>
        <v>3847.4</v>
      </c>
    </row>
    <row r="9" spans="2:6" s="67" customFormat="1" ht="15" customHeight="1">
      <c r="B9" s="67" t="s">
        <v>507</v>
      </c>
      <c r="F9" s="291" t="s">
        <v>519</v>
      </c>
    </row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'[2]Билибина 10'!$G$37</f>
        <v>13787.78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'[2]Билибина 10'!$G$38</f>
        <v>105575.96389999999</v>
      </c>
      <c r="H15" s="62"/>
      <c r="I15" s="62"/>
    </row>
    <row r="16" s="67" customFormat="1" ht="6.75" customHeight="1"/>
    <row r="17" spans="1:7" s="74" customFormat="1" ht="52.5" customHeight="1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9" s="67" customFormat="1" ht="15" customHeight="1">
      <c r="A18" s="75" t="s">
        <v>14</v>
      </c>
      <c r="B18" s="41" t="s">
        <v>15</v>
      </c>
      <c r="C18" s="135">
        <f>C19+C20+C21+C22</f>
        <v>10.34</v>
      </c>
      <c r="D18" s="76">
        <v>478092.74</v>
      </c>
      <c r="E18" s="76">
        <v>480270.26</v>
      </c>
      <c r="F18" s="76">
        <f aca="true" t="shared" si="0" ref="F18:F24">D18</f>
        <v>478092.74</v>
      </c>
      <c r="G18" s="77">
        <f>D18-E18</f>
        <v>-2177.5200000000186</v>
      </c>
      <c r="H18" s="78">
        <f>C18</f>
        <v>10.34</v>
      </c>
      <c r="I18" s="167"/>
    </row>
    <row r="19" spans="1:9" s="67" customFormat="1" ht="15" customHeight="1">
      <c r="A19" s="81" t="s">
        <v>16</v>
      </c>
      <c r="B19" s="34" t="s">
        <v>17</v>
      </c>
      <c r="C19" s="99">
        <v>3.46</v>
      </c>
      <c r="D19" s="83">
        <f>D18*I19</f>
        <v>159980.7427852998</v>
      </c>
      <c r="E19" s="83">
        <f>E18*I19</f>
        <v>160709.3906769826</v>
      </c>
      <c r="F19" s="83">
        <f t="shared" si="0"/>
        <v>159980.7427852998</v>
      </c>
      <c r="G19" s="84">
        <f>D19-E19</f>
        <v>-728.6478916828055</v>
      </c>
      <c r="H19" s="78">
        <f>C19</f>
        <v>3.46</v>
      </c>
      <c r="I19" s="67">
        <f>H19/H18</f>
        <v>0.33462282398452614</v>
      </c>
    </row>
    <row r="20" spans="1:9" s="67" customFormat="1" ht="15" customHeight="1">
      <c r="A20" s="81" t="s">
        <v>18</v>
      </c>
      <c r="B20" s="34" t="s">
        <v>19</v>
      </c>
      <c r="C20" s="99">
        <v>1.69</v>
      </c>
      <c r="D20" s="83">
        <f>D18*I20</f>
        <v>78140.88303675047</v>
      </c>
      <c r="E20" s="83">
        <f>E18*I20</f>
        <v>78496.78330754352</v>
      </c>
      <c r="F20" s="83">
        <f t="shared" si="0"/>
        <v>78140.88303675047</v>
      </c>
      <c r="G20" s="84">
        <f>D20-E20</f>
        <v>-355.90027079304855</v>
      </c>
      <c r="H20" s="78">
        <f>C20</f>
        <v>1.69</v>
      </c>
      <c r="I20" s="67">
        <f>H20/H18</f>
        <v>0.1634429400386847</v>
      </c>
    </row>
    <row r="21" spans="1:9" s="67" customFormat="1" ht="15" customHeight="1">
      <c r="A21" s="81" t="s">
        <v>20</v>
      </c>
      <c r="B21" s="34" t="s">
        <v>21</v>
      </c>
      <c r="C21" s="99">
        <v>2.15</v>
      </c>
      <c r="D21" s="83">
        <f>D18*I21</f>
        <v>99409.99912959381</v>
      </c>
      <c r="E21" s="83">
        <f>E18*I21</f>
        <v>99862.77166344294</v>
      </c>
      <c r="F21" s="83">
        <f t="shared" si="0"/>
        <v>99409.99912959381</v>
      </c>
      <c r="G21" s="84">
        <f>D21-E21</f>
        <v>-452.7725338491291</v>
      </c>
      <c r="H21" s="78">
        <f>C21</f>
        <v>2.15</v>
      </c>
      <c r="I21" s="67">
        <f>H21/H18</f>
        <v>0.2079303675048356</v>
      </c>
    </row>
    <row r="22" spans="1:9" s="67" customFormat="1" ht="15" customHeight="1">
      <c r="A22" s="81" t="s">
        <v>22</v>
      </c>
      <c r="B22" s="34" t="s">
        <v>23</v>
      </c>
      <c r="C22" s="99">
        <v>3.04</v>
      </c>
      <c r="D22" s="83">
        <f>D18*I22</f>
        <v>140561.1150483559</v>
      </c>
      <c r="E22" s="83">
        <f>E18*I22</f>
        <v>141201.31435203095</v>
      </c>
      <c r="F22" s="83">
        <f t="shared" si="0"/>
        <v>140561.1150483559</v>
      </c>
      <c r="G22" s="84">
        <f>D22-E22</f>
        <v>-640.1993036750646</v>
      </c>
      <c r="H22" s="78">
        <f>C22</f>
        <v>3.04</v>
      </c>
      <c r="I22" s="67">
        <f>H22/H18</f>
        <v>0.2940038684719536</v>
      </c>
    </row>
    <row r="23" spans="1:9" ht="15" customHeight="1">
      <c r="A23" s="41" t="s">
        <v>25</v>
      </c>
      <c r="B23" s="41" t="s">
        <v>26</v>
      </c>
      <c r="C23" s="141">
        <v>3.86</v>
      </c>
      <c r="D23" s="77">
        <v>176852.6</v>
      </c>
      <c r="E23" s="77">
        <v>177716.87</v>
      </c>
      <c r="F23" s="76">
        <f t="shared" si="0"/>
        <v>176852.6</v>
      </c>
      <c r="G23" s="77">
        <f aca="true" t="shared" si="1" ref="G23:G33">D23-E23</f>
        <v>-864.2699999999895</v>
      </c>
      <c r="H23" s="39"/>
      <c r="I23" s="39"/>
    </row>
    <row r="24" spans="1:9" ht="15" customHeight="1">
      <c r="A24" s="41" t="s">
        <v>27</v>
      </c>
      <c r="B24" s="86" t="s">
        <v>462</v>
      </c>
      <c r="C24" s="141">
        <v>125</v>
      </c>
      <c r="D24" s="77">
        <v>111050.6</v>
      </c>
      <c r="E24" s="77">
        <v>111627.07</v>
      </c>
      <c r="F24" s="77">
        <f t="shared" si="0"/>
        <v>111050.6</v>
      </c>
      <c r="G24" s="77">
        <f t="shared" si="1"/>
        <v>-576.4700000000012</v>
      </c>
      <c r="H24" s="39">
        <f>74*125</f>
        <v>9250</v>
      </c>
      <c r="I24" s="357">
        <f>D24/H24</f>
        <v>12.005470270270271</v>
      </c>
    </row>
    <row r="25" spans="1:9" ht="15" customHeight="1">
      <c r="A25" s="41" t="s">
        <v>29</v>
      </c>
      <c r="B25" s="41" t="s">
        <v>170</v>
      </c>
      <c r="C25" s="141">
        <v>0</v>
      </c>
      <c r="D25" s="77">
        <v>0</v>
      </c>
      <c r="E25" s="77">
        <v>113.82</v>
      </c>
      <c r="F25" s="77">
        <v>0</v>
      </c>
      <c r="G25" s="77">
        <f t="shared" si="1"/>
        <v>-113.82</v>
      </c>
      <c r="H25" s="39"/>
      <c r="I25" s="39"/>
    </row>
    <row r="26" spans="1:9" ht="15" customHeight="1">
      <c r="A26" s="41" t="s">
        <v>31</v>
      </c>
      <c r="B26" s="41" t="s">
        <v>116</v>
      </c>
      <c r="C26" s="141">
        <v>2.06</v>
      </c>
      <c r="D26" s="77">
        <v>304151</v>
      </c>
      <c r="E26" s="77">
        <v>297524.28</v>
      </c>
      <c r="F26" s="87">
        <f>F43</f>
        <v>412284.28280000004</v>
      </c>
      <c r="G26" s="77">
        <f t="shared" si="1"/>
        <v>6626.719999999972</v>
      </c>
      <c r="H26" s="39"/>
      <c r="I26" s="39"/>
    </row>
    <row r="27" spans="1:9" ht="15" customHeight="1">
      <c r="A27" s="211">
        <v>6</v>
      </c>
      <c r="B27" s="86" t="s">
        <v>161</v>
      </c>
      <c r="C27" s="135">
        <v>12.54</v>
      </c>
      <c r="D27" s="77">
        <v>0</v>
      </c>
      <c r="E27" s="77">
        <v>0</v>
      </c>
      <c r="F27" s="87">
        <f>D27</f>
        <v>0</v>
      </c>
      <c r="G27" s="77">
        <f t="shared" si="1"/>
        <v>0</v>
      </c>
      <c r="H27" s="39"/>
      <c r="I27" s="39"/>
    </row>
    <row r="28" spans="1:9" ht="15" customHeight="1">
      <c r="A28" s="211">
        <f>A27+1</f>
        <v>7</v>
      </c>
      <c r="B28" s="41" t="s">
        <v>36</v>
      </c>
      <c r="C28" s="142"/>
      <c r="D28" s="77">
        <f>SUM(D29:D32)</f>
        <v>2705880.1</v>
      </c>
      <c r="E28" s="77">
        <f>SUM(E29:E32)</f>
        <v>2711819.38</v>
      </c>
      <c r="F28" s="77">
        <f>SUM(F29:F32)</f>
        <v>2598828.39</v>
      </c>
      <c r="G28" s="77">
        <f>SUM(G29:G32)</f>
        <v>-5939.279999999795</v>
      </c>
      <c r="H28" s="39"/>
      <c r="I28" s="39"/>
    </row>
    <row r="29" spans="1:7" ht="15" customHeight="1">
      <c r="A29" s="212" t="s">
        <v>37</v>
      </c>
      <c r="B29" s="34" t="s">
        <v>93</v>
      </c>
      <c r="C29" s="285">
        <v>6</v>
      </c>
      <c r="D29" s="84">
        <v>108693.85</v>
      </c>
      <c r="E29" s="84">
        <v>109101.09</v>
      </c>
      <c r="F29" s="84">
        <v>1642.14</v>
      </c>
      <c r="G29" s="84">
        <f t="shared" si="1"/>
        <v>-407.2399999999907</v>
      </c>
    </row>
    <row r="30" spans="1:7" ht="15" customHeight="1">
      <c r="A30" s="212" t="s">
        <v>39</v>
      </c>
      <c r="B30" s="34" t="s">
        <v>137</v>
      </c>
      <c r="C30" s="285">
        <v>57.08</v>
      </c>
      <c r="D30" s="84">
        <v>349002.76</v>
      </c>
      <c r="E30" s="84">
        <v>351180.37</v>
      </c>
      <c r="F30" s="84">
        <f>D30</f>
        <v>349002.76</v>
      </c>
      <c r="G30" s="84">
        <f t="shared" si="1"/>
        <v>-2177.609999999986</v>
      </c>
    </row>
    <row r="31" spans="1:7" ht="15" customHeight="1">
      <c r="A31" s="212" t="s">
        <v>42</v>
      </c>
      <c r="B31" s="34" t="s">
        <v>340</v>
      </c>
      <c r="C31" s="286">
        <v>211.65</v>
      </c>
      <c r="D31" s="84">
        <v>630019.41</v>
      </c>
      <c r="E31" s="84">
        <v>640279.7</v>
      </c>
      <c r="F31" s="84">
        <f>D31</f>
        <v>630019.41</v>
      </c>
      <c r="G31" s="84">
        <f t="shared" si="1"/>
        <v>-10260.28999999992</v>
      </c>
    </row>
    <row r="32" spans="1:7" ht="15" customHeight="1">
      <c r="A32" s="212" t="s">
        <v>41</v>
      </c>
      <c r="B32" s="34" t="s">
        <v>43</v>
      </c>
      <c r="C32" s="285">
        <v>2638.8</v>
      </c>
      <c r="D32" s="84">
        <v>1618164.08</v>
      </c>
      <c r="E32" s="84">
        <v>1611258.22</v>
      </c>
      <c r="F32" s="84">
        <f>D32</f>
        <v>1618164.08</v>
      </c>
      <c r="G32" s="84">
        <f>D32-E32</f>
        <v>6905.860000000102</v>
      </c>
    </row>
    <row r="33" spans="1:7" ht="15" customHeight="1">
      <c r="A33" s="212" t="s">
        <v>271</v>
      </c>
      <c r="B33" s="336" t="s">
        <v>389</v>
      </c>
      <c r="C33" s="285"/>
      <c r="D33" s="287">
        <f>(500*12)+(500*12)+(500*12)+(500*12)</f>
        <v>24000</v>
      </c>
      <c r="E33" s="287">
        <v>15045</v>
      </c>
      <c r="F33" s="287"/>
      <c r="G33" s="287">
        <f t="shared" si="1"/>
        <v>8955</v>
      </c>
    </row>
    <row r="34" spans="1:7" ht="15" customHeight="1">
      <c r="A34" s="420"/>
      <c r="B34" s="418"/>
      <c r="C34" s="487" t="s">
        <v>557</v>
      </c>
      <c r="D34" s="488"/>
      <c r="E34" s="488"/>
      <c r="F34" s="488"/>
      <c r="G34" s="424">
        <f>E33-(E33*15%)</f>
        <v>12788.25</v>
      </c>
    </row>
    <row r="35" spans="1:10" s="102" customFormat="1" ht="18" customHeight="1" thickBot="1">
      <c r="A35" s="446" t="s">
        <v>294</v>
      </c>
      <c r="B35" s="447"/>
      <c r="C35" s="447"/>
      <c r="D35" s="448"/>
      <c r="E35" s="448"/>
      <c r="F35" s="448"/>
      <c r="G35" s="101"/>
      <c r="H35" s="101"/>
      <c r="I35" s="101"/>
      <c r="J35" s="101"/>
    </row>
    <row r="36" spans="1:9" s="67" customFormat="1" ht="15.75" thickBot="1">
      <c r="A36" s="455" t="s">
        <v>413</v>
      </c>
      <c r="B36" s="456"/>
      <c r="C36" s="456"/>
      <c r="D36" s="65">
        <v>469120.13</v>
      </c>
      <c r="E36" s="66"/>
      <c r="F36" s="66"/>
      <c r="G36" s="66"/>
      <c r="H36" s="62"/>
      <c r="I36" s="62"/>
    </row>
    <row r="37" spans="1:9" s="67" customFormat="1" ht="6" customHeight="1" thickBot="1">
      <c r="A37" s="68"/>
      <c r="B37" s="68"/>
      <c r="C37" s="68"/>
      <c r="D37" s="40"/>
      <c r="E37" s="66"/>
      <c r="F37" s="66"/>
      <c r="G37" s="66"/>
      <c r="H37" s="62"/>
      <c r="I37" s="62"/>
    </row>
    <row r="38" spans="1:9" s="67" customFormat="1" ht="16.5" customHeight="1" thickBot="1">
      <c r="A38" s="63" t="s">
        <v>414</v>
      </c>
      <c r="B38" s="64"/>
      <c r="C38" s="64"/>
      <c r="D38" s="69"/>
      <c r="E38" s="70"/>
      <c r="F38" s="70"/>
      <c r="G38" s="144">
        <f>G14</f>
        <v>13787.78</v>
      </c>
      <c r="H38" s="62"/>
      <c r="I38" s="62"/>
    </row>
    <row r="39" spans="1:9" s="67" customFormat="1" ht="16.5" customHeight="1" thickBot="1">
      <c r="A39" s="63" t="s">
        <v>415</v>
      </c>
      <c r="B39" s="64"/>
      <c r="C39" s="64"/>
      <c r="D39" s="69"/>
      <c r="E39" s="70"/>
      <c r="F39" s="70"/>
      <c r="G39" s="144">
        <f>G15+E26-F26</f>
        <v>-9184.038900000043</v>
      </c>
      <c r="H39" s="62"/>
      <c r="I39" s="62"/>
    </row>
    <row r="40" spans="1:9" ht="26.25" customHeight="1">
      <c r="A40" s="537" t="s">
        <v>44</v>
      </c>
      <c r="B40" s="537"/>
      <c r="C40" s="537"/>
      <c r="D40" s="537"/>
      <c r="E40" s="537"/>
      <c r="F40" s="537"/>
      <c r="G40" s="537"/>
      <c r="H40" s="537"/>
      <c r="I40" s="537"/>
    </row>
    <row r="41" ht="3.75" customHeight="1"/>
    <row r="42" spans="1:7" s="171" customFormat="1" ht="28.5" customHeight="1">
      <c r="A42" s="105" t="s">
        <v>11</v>
      </c>
      <c r="B42" s="471" t="s">
        <v>45</v>
      </c>
      <c r="C42" s="484"/>
      <c r="D42" s="105" t="s">
        <v>163</v>
      </c>
      <c r="E42" s="105" t="s">
        <v>162</v>
      </c>
      <c r="F42" s="471" t="s">
        <v>46</v>
      </c>
      <c r="G42" s="484"/>
    </row>
    <row r="43" spans="1:7" s="114" customFormat="1" ht="13.5" customHeight="1">
      <c r="A43" s="109" t="s">
        <v>47</v>
      </c>
      <c r="B43" s="473" t="s">
        <v>111</v>
      </c>
      <c r="C43" s="491"/>
      <c r="D43" s="110"/>
      <c r="E43" s="110"/>
      <c r="F43" s="496">
        <f>SUM(F44:L53)</f>
        <v>412284.28280000004</v>
      </c>
      <c r="G43" s="483"/>
    </row>
    <row r="44" spans="1:7" ht="13.5" customHeight="1">
      <c r="A44" s="34" t="s">
        <v>16</v>
      </c>
      <c r="B44" s="462" t="s">
        <v>610</v>
      </c>
      <c r="C44" s="489"/>
      <c r="D44" s="403"/>
      <c r="E44" s="408"/>
      <c r="F44" s="525">
        <v>47000</v>
      </c>
      <c r="G44" s="526"/>
    </row>
    <row r="45" spans="1:7" ht="13.5" customHeight="1">
      <c r="A45" s="34" t="s">
        <v>18</v>
      </c>
      <c r="B45" s="462" t="s">
        <v>611</v>
      </c>
      <c r="C45" s="489"/>
      <c r="D45" s="403"/>
      <c r="E45" s="408"/>
      <c r="F45" s="482">
        <v>52000</v>
      </c>
      <c r="G45" s="482"/>
    </row>
    <row r="46" spans="1:7" ht="13.5" customHeight="1">
      <c r="A46" s="34" t="s">
        <v>20</v>
      </c>
      <c r="B46" s="462" t="s">
        <v>612</v>
      </c>
      <c r="C46" s="489"/>
      <c r="D46" s="403" t="s">
        <v>216</v>
      </c>
      <c r="E46" s="408">
        <v>0.22</v>
      </c>
      <c r="F46" s="482">
        <v>40791.28</v>
      </c>
      <c r="G46" s="482"/>
    </row>
    <row r="47" spans="1:7" ht="13.5" customHeight="1">
      <c r="A47" s="34" t="s">
        <v>22</v>
      </c>
      <c r="B47" s="462" t="s">
        <v>613</v>
      </c>
      <c r="C47" s="489"/>
      <c r="D47" s="403" t="s">
        <v>164</v>
      </c>
      <c r="E47" s="408">
        <v>12</v>
      </c>
      <c r="F47" s="482">
        <v>25956</v>
      </c>
      <c r="G47" s="482"/>
    </row>
    <row r="48" spans="1:7" ht="13.5" customHeight="1">
      <c r="A48" s="34" t="s">
        <v>24</v>
      </c>
      <c r="B48" s="462" t="s">
        <v>614</v>
      </c>
      <c r="C48" s="489"/>
      <c r="D48" s="403"/>
      <c r="E48" s="408"/>
      <c r="F48" s="482">
        <v>5000</v>
      </c>
      <c r="G48" s="482"/>
    </row>
    <row r="49" spans="1:7" ht="13.5" customHeight="1">
      <c r="A49" s="34" t="s">
        <v>103</v>
      </c>
      <c r="B49" s="462" t="s">
        <v>614</v>
      </c>
      <c r="C49" s="489"/>
      <c r="D49" s="403"/>
      <c r="E49" s="408"/>
      <c r="F49" s="482">
        <v>5000</v>
      </c>
      <c r="G49" s="482"/>
    </row>
    <row r="50" spans="1:7" ht="13.5" customHeight="1">
      <c r="A50" s="34" t="s">
        <v>104</v>
      </c>
      <c r="B50" s="462" t="s">
        <v>541</v>
      </c>
      <c r="C50" s="498"/>
      <c r="D50" s="403"/>
      <c r="E50" s="406"/>
      <c r="F50" s="482">
        <v>208961.76</v>
      </c>
      <c r="G50" s="482"/>
    </row>
    <row r="51" spans="1:7" ht="13.5" customHeight="1">
      <c r="A51" s="34" t="s">
        <v>117</v>
      </c>
      <c r="B51" s="462" t="s">
        <v>615</v>
      </c>
      <c r="C51" s="498"/>
      <c r="D51" s="403"/>
      <c r="E51" s="406"/>
      <c r="F51" s="482">
        <v>16200</v>
      </c>
      <c r="G51" s="482"/>
    </row>
    <row r="52" spans="1:7" ht="13.5" customHeight="1">
      <c r="A52" s="34" t="s">
        <v>118</v>
      </c>
      <c r="B52" s="449" t="s">
        <v>814</v>
      </c>
      <c r="C52" s="641"/>
      <c r="D52" s="403" t="s">
        <v>391</v>
      </c>
      <c r="E52" s="406">
        <v>3</v>
      </c>
      <c r="F52" s="490">
        <v>8400</v>
      </c>
      <c r="G52" s="490"/>
    </row>
    <row r="53" spans="1:7" ht="13.5" customHeight="1">
      <c r="A53" s="34" t="s">
        <v>119</v>
      </c>
      <c r="B53" s="148" t="s">
        <v>188</v>
      </c>
      <c r="C53" s="149"/>
      <c r="D53" s="118"/>
      <c r="E53" s="118"/>
      <c r="F53" s="495">
        <f>E26*1%</f>
        <v>2975.2428000000004</v>
      </c>
      <c r="G53" s="495"/>
    </row>
    <row r="54" spans="1:7" ht="13.5" customHeight="1">
      <c r="A54" s="67"/>
      <c r="B54" s="67"/>
      <c r="C54" s="67"/>
      <c r="D54" s="67"/>
      <c r="E54" s="67"/>
      <c r="F54" s="67"/>
      <c r="G54" s="67"/>
    </row>
    <row r="55" spans="1:9" s="67" customFormat="1" ht="15">
      <c r="A55" s="67" t="s">
        <v>55</v>
      </c>
      <c r="C55" s="67" t="s">
        <v>49</v>
      </c>
      <c r="F55" s="67" t="s">
        <v>90</v>
      </c>
      <c r="H55" s="35"/>
      <c r="I55" s="35"/>
    </row>
    <row r="56" spans="6:9" s="67" customFormat="1" ht="15">
      <c r="F56" s="126" t="s">
        <v>545</v>
      </c>
      <c r="H56" s="35"/>
      <c r="I56" s="35"/>
    </row>
    <row r="57" spans="1:9" s="67" customFormat="1" ht="13.5" customHeight="1">
      <c r="A57" s="67" t="s">
        <v>50</v>
      </c>
      <c r="H57" s="35"/>
      <c r="I57" s="35"/>
    </row>
    <row r="58" spans="3:7" s="67" customFormat="1" ht="15">
      <c r="C58" s="128" t="s">
        <v>51</v>
      </c>
      <c r="E58" s="128"/>
      <c r="F58" s="128"/>
      <c r="G58" s="128"/>
    </row>
    <row r="59" s="67" customFormat="1" ht="15"/>
  </sheetData>
  <sheetProtection/>
  <mergeCells count="34">
    <mergeCell ref="B52:C52"/>
    <mergeCell ref="F52:G52"/>
    <mergeCell ref="A1:I1"/>
    <mergeCell ref="A2:I2"/>
    <mergeCell ref="A3:K3"/>
    <mergeCell ref="A5:I5"/>
    <mergeCell ref="A11:I11"/>
    <mergeCell ref="A10:I10"/>
    <mergeCell ref="A12:I12"/>
    <mergeCell ref="A36:C36"/>
    <mergeCell ref="A35:F35"/>
    <mergeCell ref="F45:G45"/>
    <mergeCell ref="F49:G49"/>
    <mergeCell ref="B45:C45"/>
    <mergeCell ref="B49:C49"/>
    <mergeCell ref="B43:C43"/>
    <mergeCell ref="C34:F34"/>
    <mergeCell ref="B42:C42"/>
    <mergeCell ref="A40:I40"/>
    <mergeCell ref="F42:G42"/>
    <mergeCell ref="F44:G44"/>
    <mergeCell ref="B46:C46"/>
    <mergeCell ref="B47:C47"/>
    <mergeCell ref="B44:C44"/>
    <mergeCell ref="B48:C48"/>
    <mergeCell ref="F46:G46"/>
    <mergeCell ref="F47:G47"/>
    <mergeCell ref="F48:G48"/>
    <mergeCell ref="F53:G53"/>
    <mergeCell ref="F43:G43"/>
    <mergeCell ref="B51:C51"/>
    <mergeCell ref="F51:G51"/>
    <mergeCell ref="B50:C50"/>
    <mergeCell ref="F50:G50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</sheetPr>
  <dimension ref="A1:O57"/>
  <sheetViews>
    <sheetView zoomScalePageLayoutView="0" workbookViewId="0" topLeftCell="A40">
      <selection activeCell="A53" sqref="A53"/>
    </sheetView>
  </sheetViews>
  <sheetFormatPr defaultColWidth="9.140625" defaultRowHeight="15" outlineLevelCol="1"/>
  <cols>
    <col min="1" max="1" width="4.7109375" style="35" customWidth="1"/>
    <col min="2" max="2" width="40.421875" style="35" customWidth="1"/>
    <col min="3" max="3" width="13.28125" style="35" customWidth="1"/>
    <col min="4" max="5" width="12.7109375" style="35" customWidth="1"/>
    <col min="6" max="6" width="15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6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4.2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3" customHeight="1"/>
    <row r="7" spans="1:6" s="67" customFormat="1" ht="16.5" customHeight="1">
      <c r="A7" s="67" t="s">
        <v>2</v>
      </c>
      <c r="F7" s="126" t="s">
        <v>129</v>
      </c>
    </row>
    <row r="8" spans="1:11" s="67" customFormat="1" ht="15">
      <c r="A8" s="67" t="s">
        <v>3</v>
      </c>
      <c r="F8" s="291" t="s">
        <v>442</v>
      </c>
      <c r="H8" s="199">
        <v>459.8</v>
      </c>
      <c r="I8" s="199">
        <f>27.4+27.4+27.4+75.4+93.9+129.2</f>
        <v>380.7</v>
      </c>
      <c r="J8" s="199">
        <f>3906.3+0.5</f>
        <v>3906.8</v>
      </c>
      <c r="K8" s="67">
        <f>H8+I8+J8</f>
        <v>4747.3</v>
      </c>
    </row>
    <row r="9" spans="2:7" s="67" customFormat="1" ht="14.25" customHeight="1">
      <c r="B9" s="67" t="s">
        <v>507</v>
      </c>
      <c r="F9" s="291" t="s">
        <v>520</v>
      </c>
      <c r="G9" s="126"/>
    </row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'[2]Ленина 61.5'!$G$36</f>
        <v>2116.6899999999932</v>
      </c>
      <c r="H14" s="62"/>
      <c r="I14" s="62"/>
    </row>
    <row r="15" spans="1:15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'[2]Ленина 61.5'!$G$37</f>
        <v>-348805.4019</v>
      </c>
      <c r="H15" s="62"/>
      <c r="I15" s="62"/>
      <c r="O15" s="126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11" s="67" customFormat="1" ht="29.25">
      <c r="A18" s="75" t="s">
        <v>14</v>
      </c>
      <c r="B18" s="41" t="s">
        <v>15</v>
      </c>
      <c r="C18" s="135">
        <f>C19+C20+C21+C22</f>
        <v>10.34</v>
      </c>
      <c r="D18" s="76">
        <v>618454.39</v>
      </c>
      <c r="E18" s="76">
        <v>573849.84</v>
      </c>
      <c r="F18" s="76">
        <f aca="true" t="shared" si="0" ref="F18:F24">D18</f>
        <v>618454.39</v>
      </c>
      <c r="G18" s="77">
        <f>D18-E18</f>
        <v>44604.55000000005</v>
      </c>
      <c r="H18" s="78">
        <f>C18</f>
        <v>10.34</v>
      </c>
      <c r="I18" s="167"/>
      <c r="K18" s="67">
        <f>D18/12/J8</f>
        <v>13.191836242790348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206948.9544874275</v>
      </c>
      <c r="E19" s="83">
        <f>E18*I19</f>
        <v>192023.25400386847</v>
      </c>
      <c r="F19" s="83">
        <f t="shared" si="0"/>
        <v>206948.9544874275</v>
      </c>
      <c r="G19" s="84">
        <f>D19-E19</f>
        <v>14925.70048355902</v>
      </c>
      <c r="H19" s="78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101082.00378143133</v>
      </c>
      <c r="E20" s="83">
        <f>E18*I20</f>
        <v>93791.7049903288</v>
      </c>
      <c r="F20" s="83">
        <f t="shared" si="0"/>
        <v>101082.00378143133</v>
      </c>
      <c r="G20" s="84">
        <f>D20-E20</f>
        <v>7290.298791102527</v>
      </c>
      <c r="H20" s="78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128595.44859767893</v>
      </c>
      <c r="E21" s="83">
        <f>E18*I21</f>
        <v>119320.8081237911</v>
      </c>
      <c r="F21" s="83">
        <f t="shared" si="0"/>
        <v>128595.44859767893</v>
      </c>
      <c r="G21" s="84">
        <f>D21-E21</f>
        <v>9274.640473887834</v>
      </c>
      <c r="H21" s="78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181827.9831334623</v>
      </c>
      <c r="E22" s="83">
        <f>E18*I22</f>
        <v>168714.0728820116</v>
      </c>
      <c r="F22" s="83">
        <f t="shared" si="0"/>
        <v>181827.9831334623</v>
      </c>
      <c r="G22" s="84">
        <f>D22-E22</f>
        <v>13113.910251450696</v>
      </c>
      <c r="H22" s="78">
        <f>C22</f>
        <v>3.04</v>
      </c>
      <c r="I22" s="67">
        <f>H22/H18</f>
        <v>0.2940038684719536</v>
      </c>
    </row>
    <row r="23" spans="1:9" ht="15">
      <c r="A23" s="41" t="s">
        <v>25</v>
      </c>
      <c r="B23" s="41" t="s">
        <v>26</v>
      </c>
      <c r="C23" s="141">
        <v>0</v>
      </c>
      <c r="D23" s="77">
        <v>0</v>
      </c>
      <c r="E23" s="77">
        <v>0</v>
      </c>
      <c r="F23" s="76">
        <f t="shared" si="0"/>
        <v>0</v>
      </c>
      <c r="G23" s="77">
        <f aca="true" t="shared" si="1" ref="G23:G32">D23-E23</f>
        <v>0</v>
      </c>
      <c r="H23" s="39"/>
      <c r="I23" s="39"/>
    </row>
    <row r="24" spans="1:9" ht="29.25">
      <c r="A24" s="41" t="s">
        <v>27</v>
      </c>
      <c r="B24" s="41" t="s">
        <v>226</v>
      </c>
      <c r="C24" s="141" t="s">
        <v>443</v>
      </c>
      <c r="D24" s="77">
        <v>75140</v>
      </c>
      <c r="E24" s="77">
        <v>73613.22</v>
      </c>
      <c r="F24" s="77">
        <f t="shared" si="0"/>
        <v>75140</v>
      </c>
      <c r="G24" s="77">
        <f t="shared" si="1"/>
        <v>1526.7799999999988</v>
      </c>
      <c r="H24" s="39">
        <f>70*130</f>
        <v>9100</v>
      </c>
      <c r="I24" s="356">
        <f>D24/H24</f>
        <v>8.257142857142858</v>
      </c>
    </row>
    <row r="25" spans="1:9" ht="15">
      <c r="A25" s="41" t="s">
        <v>29</v>
      </c>
      <c r="B25" s="41" t="s">
        <v>92</v>
      </c>
      <c r="C25" s="141">
        <v>0</v>
      </c>
      <c r="D25" s="77">
        <v>0</v>
      </c>
      <c r="E25" s="77">
        <v>129.93</v>
      </c>
      <c r="F25" s="77">
        <v>0</v>
      </c>
      <c r="G25" s="77">
        <f t="shared" si="1"/>
        <v>-129.93</v>
      </c>
      <c r="H25" s="39"/>
      <c r="I25" s="39"/>
    </row>
    <row r="26" spans="1:9" ht="15">
      <c r="A26" s="41" t="s">
        <v>31</v>
      </c>
      <c r="B26" s="41" t="s">
        <v>116</v>
      </c>
      <c r="C26" s="141">
        <v>2.06</v>
      </c>
      <c r="D26" s="77">
        <v>114507.23</v>
      </c>
      <c r="E26" s="77">
        <v>105569.34</v>
      </c>
      <c r="F26" s="87">
        <f>F44</f>
        <v>54023.2734</v>
      </c>
      <c r="G26" s="77">
        <f t="shared" si="1"/>
        <v>8937.89</v>
      </c>
      <c r="H26" s="39"/>
      <c r="I26" s="39"/>
    </row>
    <row r="27" spans="1:9" ht="15">
      <c r="A27" s="211">
        <v>6</v>
      </c>
      <c r="B27" s="86" t="s">
        <v>161</v>
      </c>
      <c r="C27" s="142">
        <v>0</v>
      </c>
      <c r="D27" s="77">
        <v>0</v>
      </c>
      <c r="E27" s="77">
        <v>0</v>
      </c>
      <c r="F27" s="87">
        <f>D27</f>
        <v>0</v>
      </c>
      <c r="G27" s="77">
        <f t="shared" si="1"/>
        <v>0</v>
      </c>
      <c r="H27" s="39"/>
      <c r="I27" s="39"/>
    </row>
    <row r="28" spans="1:9" ht="15">
      <c r="A28" s="211">
        <f>A27+1</f>
        <v>7</v>
      </c>
      <c r="B28" s="41" t="s">
        <v>36</v>
      </c>
      <c r="C28" s="142"/>
      <c r="D28" s="77">
        <f>SUM(D29:D32)</f>
        <v>2333235.0300000003</v>
      </c>
      <c r="E28" s="77">
        <f>SUM(E29:E32)</f>
        <v>2322615.47</v>
      </c>
      <c r="F28" s="77">
        <f>SUM(F29:F32)</f>
        <v>2333235.0300000003</v>
      </c>
      <c r="G28" s="77">
        <f t="shared" si="1"/>
        <v>10619.560000000056</v>
      </c>
      <c r="H28" s="39"/>
      <c r="I28" s="39"/>
    </row>
    <row r="29" spans="1:7" ht="15">
      <c r="A29" s="212" t="s">
        <v>37</v>
      </c>
      <c r="B29" s="34" t="s">
        <v>93</v>
      </c>
      <c r="C29" s="285">
        <v>6</v>
      </c>
      <c r="D29" s="84">
        <v>48946.95</v>
      </c>
      <c r="E29" s="84">
        <v>35996.68</v>
      </c>
      <c r="F29" s="84">
        <f>D29</f>
        <v>48946.95</v>
      </c>
      <c r="G29" s="84">
        <f t="shared" si="1"/>
        <v>12950.269999999997</v>
      </c>
    </row>
    <row r="30" spans="1:7" ht="15">
      <c r="A30" s="212" t="s">
        <v>39</v>
      </c>
      <c r="B30" s="34" t="s">
        <v>137</v>
      </c>
      <c r="C30" s="285">
        <v>57.08</v>
      </c>
      <c r="D30" s="84">
        <v>302747.18</v>
      </c>
      <c r="E30" s="84">
        <v>299868.93</v>
      </c>
      <c r="F30" s="84">
        <f>D30</f>
        <v>302747.18</v>
      </c>
      <c r="G30" s="84">
        <f t="shared" si="1"/>
        <v>2878.25</v>
      </c>
    </row>
    <row r="31" spans="1:7" ht="15">
      <c r="A31" s="212" t="s">
        <v>42</v>
      </c>
      <c r="B31" s="34" t="s">
        <v>340</v>
      </c>
      <c r="C31" s="286">
        <v>211.65</v>
      </c>
      <c r="D31" s="84">
        <v>564711.14</v>
      </c>
      <c r="E31" s="84">
        <v>557688.05</v>
      </c>
      <c r="F31" s="84">
        <f>D31</f>
        <v>564711.14</v>
      </c>
      <c r="G31" s="84">
        <f t="shared" si="1"/>
        <v>7023.089999999967</v>
      </c>
    </row>
    <row r="32" spans="1:7" ht="15">
      <c r="A32" s="212" t="s">
        <v>41</v>
      </c>
      <c r="B32" s="34" t="s">
        <v>43</v>
      </c>
      <c r="C32" s="285">
        <v>2638.8</v>
      </c>
      <c r="D32" s="84">
        <v>1416829.76</v>
      </c>
      <c r="E32" s="84">
        <v>1429061.81</v>
      </c>
      <c r="F32" s="84">
        <f>D32</f>
        <v>1416829.76</v>
      </c>
      <c r="G32" s="84">
        <f t="shared" si="1"/>
        <v>-12232.050000000047</v>
      </c>
    </row>
    <row r="33" spans="1:10" s="102" customFormat="1" ht="5.25" customHeight="1" thickBot="1">
      <c r="A33" s="104"/>
      <c r="B33" s="104"/>
      <c r="C33" s="104"/>
      <c r="D33" s="101"/>
      <c r="E33" s="101"/>
      <c r="F33" s="101"/>
      <c r="G33" s="101"/>
      <c r="H33" s="101"/>
      <c r="I33" s="101"/>
      <c r="J33" s="101"/>
    </row>
    <row r="34" spans="1:9" s="67" customFormat="1" ht="15.75" thickBot="1">
      <c r="A34" s="455" t="s">
        <v>413</v>
      </c>
      <c r="B34" s="456"/>
      <c r="C34" s="456"/>
      <c r="D34" s="65">
        <v>650891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414</v>
      </c>
      <c r="B36" s="64"/>
      <c r="C36" s="64"/>
      <c r="D36" s="69"/>
      <c r="E36" s="70"/>
      <c r="F36" s="70"/>
      <c r="G36" s="144">
        <f>G14+E25-F25</f>
        <v>2246.619999999993</v>
      </c>
      <c r="H36" s="62"/>
      <c r="I36" s="62"/>
    </row>
    <row r="37" spans="1:9" s="67" customFormat="1" ht="15.75" thickBot="1">
      <c r="A37" s="63" t="s">
        <v>415</v>
      </c>
      <c r="B37" s="64"/>
      <c r="C37" s="64"/>
      <c r="D37" s="69"/>
      <c r="E37" s="70"/>
      <c r="F37" s="70"/>
      <c r="G37" s="144">
        <f>G15+E26-F26</f>
        <v>-297259.3353</v>
      </c>
      <c r="H37" s="62"/>
      <c r="I37" s="62"/>
    </row>
    <row r="38" spans="1:9" s="67" customFormat="1" ht="15">
      <c r="A38" s="585" t="s">
        <v>322</v>
      </c>
      <c r="B38" s="586"/>
      <c r="C38" s="318"/>
      <c r="D38" s="318"/>
      <c r="E38" s="319"/>
      <c r="F38" s="319"/>
      <c r="G38" s="319"/>
      <c r="H38" s="62"/>
      <c r="I38" s="62"/>
    </row>
    <row r="39" spans="1:9" s="67" customFormat="1" ht="15">
      <c r="A39" s="517" t="s">
        <v>145</v>
      </c>
      <c r="B39" s="518"/>
      <c r="C39" s="311" t="s">
        <v>146</v>
      </c>
      <c r="D39" s="311" t="s">
        <v>147</v>
      </c>
      <c r="E39" s="312" t="s">
        <v>148</v>
      </c>
      <c r="F39" s="313" t="s">
        <v>149</v>
      </c>
      <c r="G39" s="312" t="s">
        <v>150</v>
      </c>
      <c r="H39" s="62"/>
      <c r="I39" s="62"/>
    </row>
    <row r="40" spans="1:9" s="67" customFormat="1" ht="15">
      <c r="A40" s="519"/>
      <c r="B40" s="520"/>
      <c r="C40" s="294">
        <v>459.8</v>
      </c>
      <c r="D40" s="314">
        <f>E40/C40/12</f>
        <v>15.899999999999999</v>
      </c>
      <c r="E40" s="316">
        <v>87729.84</v>
      </c>
      <c r="F40" s="316">
        <v>86120.54</v>
      </c>
      <c r="G40" s="314">
        <f>E40-F40</f>
        <v>1609.300000000003</v>
      </c>
      <c r="H40" s="62"/>
      <c r="I40" s="320">
        <f>129.2+93.9+27.4+27.4+27.4</f>
        <v>305.29999999999995</v>
      </c>
    </row>
    <row r="41" spans="1:9" ht="26.25" customHeight="1">
      <c r="A41" s="537" t="s">
        <v>44</v>
      </c>
      <c r="B41" s="537"/>
      <c r="C41" s="537"/>
      <c r="D41" s="537"/>
      <c r="E41" s="537"/>
      <c r="F41" s="537"/>
      <c r="G41" s="537"/>
      <c r="H41" s="537"/>
      <c r="I41" s="537"/>
    </row>
    <row r="42" ht="3.75" customHeight="1"/>
    <row r="43" spans="1:7" s="171" customFormat="1" ht="28.5" customHeight="1">
      <c r="A43" s="105" t="s">
        <v>11</v>
      </c>
      <c r="B43" s="471" t="s">
        <v>45</v>
      </c>
      <c r="C43" s="484"/>
      <c r="D43" s="105" t="s">
        <v>163</v>
      </c>
      <c r="E43" s="105" t="s">
        <v>162</v>
      </c>
      <c r="F43" s="471" t="s">
        <v>46</v>
      </c>
      <c r="G43" s="484"/>
    </row>
    <row r="44" spans="1:7" s="114" customFormat="1" ht="13.5" customHeight="1">
      <c r="A44" s="109" t="s">
        <v>47</v>
      </c>
      <c r="B44" s="473" t="s">
        <v>111</v>
      </c>
      <c r="C44" s="491"/>
      <c r="D44" s="110"/>
      <c r="E44" s="110"/>
      <c r="F44" s="496">
        <f>SUM(F45:L52)</f>
        <v>54023.2734</v>
      </c>
      <c r="G44" s="483"/>
    </row>
    <row r="45" spans="1:7" ht="23.25" customHeight="1">
      <c r="A45" s="34" t="s">
        <v>16</v>
      </c>
      <c r="B45" s="462" t="s">
        <v>326</v>
      </c>
      <c r="C45" s="489"/>
      <c r="D45" s="403"/>
      <c r="E45" s="403" t="s">
        <v>221</v>
      </c>
      <c r="F45" s="525">
        <v>110</v>
      </c>
      <c r="G45" s="526"/>
    </row>
    <row r="46" spans="1:7" ht="13.5" customHeight="1">
      <c r="A46" s="34" t="s">
        <v>18</v>
      </c>
      <c r="B46" s="462" t="s">
        <v>399</v>
      </c>
      <c r="C46" s="489"/>
      <c r="D46" s="403" t="s">
        <v>164</v>
      </c>
      <c r="E46" s="403">
        <v>1</v>
      </c>
      <c r="F46" s="497">
        <v>5101.49</v>
      </c>
      <c r="G46" s="497"/>
    </row>
    <row r="47" spans="1:7" ht="13.5" customHeight="1">
      <c r="A47" s="34" t="s">
        <v>20</v>
      </c>
      <c r="B47" s="462" t="s">
        <v>616</v>
      </c>
      <c r="C47" s="489"/>
      <c r="D47" s="403" t="s">
        <v>216</v>
      </c>
      <c r="E47" s="403">
        <v>0.04</v>
      </c>
      <c r="F47" s="525">
        <v>6956.09</v>
      </c>
      <c r="G47" s="526"/>
    </row>
    <row r="48" spans="1:7" ht="13.5" customHeight="1">
      <c r="A48" s="34" t="s">
        <v>22</v>
      </c>
      <c r="B48" s="462" t="s">
        <v>404</v>
      </c>
      <c r="C48" s="498"/>
      <c r="D48" s="403" t="s">
        <v>391</v>
      </c>
      <c r="E48" s="406">
        <v>12</v>
      </c>
      <c r="F48" s="482">
        <v>24000</v>
      </c>
      <c r="G48" s="482"/>
    </row>
    <row r="49" spans="1:7" ht="13.5" customHeight="1">
      <c r="A49" s="34" t="s">
        <v>24</v>
      </c>
      <c r="B49" s="449" t="s">
        <v>814</v>
      </c>
      <c r="C49" s="641"/>
      <c r="D49" s="118" t="s">
        <v>391</v>
      </c>
      <c r="E49" s="152">
        <v>6</v>
      </c>
      <c r="F49" s="490">
        <v>16800</v>
      </c>
      <c r="G49" s="490"/>
    </row>
    <row r="50" spans="1:7" ht="13.5" customHeight="1">
      <c r="A50" s="34" t="s">
        <v>103</v>
      </c>
      <c r="B50" s="462"/>
      <c r="C50" s="498"/>
      <c r="D50" s="403"/>
      <c r="E50" s="406"/>
      <c r="F50" s="482"/>
      <c r="G50" s="482"/>
    </row>
    <row r="51" spans="1:7" ht="13.5" customHeight="1">
      <c r="A51" s="34" t="s">
        <v>104</v>
      </c>
      <c r="B51" s="462"/>
      <c r="C51" s="498"/>
      <c r="D51" s="403"/>
      <c r="E51" s="406"/>
      <c r="F51" s="482"/>
      <c r="G51" s="482"/>
    </row>
    <row r="52" spans="1:9" ht="13.5" customHeight="1">
      <c r="A52" s="34" t="s">
        <v>117</v>
      </c>
      <c r="B52" s="148" t="s">
        <v>188</v>
      </c>
      <c r="C52" s="149"/>
      <c r="D52" s="118"/>
      <c r="E52" s="118"/>
      <c r="F52" s="495">
        <f>E26*1%</f>
        <v>1055.6933999999999</v>
      </c>
      <c r="G52" s="495"/>
      <c r="H52" s="67"/>
      <c r="I52" s="67"/>
    </row>
    <row r="53" spans="1:7" ht="13.5" customHeight="1">
      <c r="A53" s="67"/>
      <c r="B53" s="67"/>
      <c r="C53" s="67"/>
      <c r="D53" s="67"/>
      <c r="E53" s="67"/>
      <c r="F53" s="67"/>
      <c r="G53" s="67"/>
    </row>
    <row r="54" spans="1:7" ht="13.5" customHeight="1">
      <c r="A54" s="67" t="s">
        <v>55</v>
      </c>
      <c r="B54" s="67"/>
      <c r="C54" s="67" t="s">
        <v>49</v>
      </c>
      <c r="D54" s="67"/>
      <c r="E54" s="67"/>
      <c r="F54" s="67" t="s">
        <v>90</v>
      </c>
      <c r="G54" s="67"/>
    </row>
    <row r="55" spans="1:7" ht="13.5" customHeight="1">
      <c r="A55" s="67"/>
      <c r="B55" s="67"/>
      <c r="C55" s="67"/>
      <c r="D55" s="67"/>
      <c r="E55" s="67"/>
      <c r="F55" s="126" t="s">
        <v>545</v>
      </c>
      <c r="G55" s="67"/>
    </row>
    <row r="56" spans="1:7" ht="13.5" customHeight="1">
      <c r="A56" s="67" t="s">
        <v>50</v>
      </c>
      <c r="B56" s="67"/>
      <c r="C56" s="67"/>
      <c r="D56" s="67"/>
      <c r="E56" s="67"/>
      <c r="F56" s="67"/>
      <c r="G56" s="67"/>
    </row>
    <row r="57" spans="1:7" ht="13.5" customHeight="1">
      <c r="A57" s="67"/>
      <c r="B57" s="67"/>
      <c r="C57" s="128" t="s">
        <v>51</v>
      </c>
      <c r="D57" s="67"/>
      <c r="E57" s="128"/>
      <c r="F57" s="128"/>
      <c r="G57" s="128"/>
    </row>
    <row r="58" s="67" customFormat="1" ht="15"/>
    <row r="59" s="67" customFormat="1" ht="15"/>
    <row r="60" s="67" customFormat="1" ht="15"/>
  </sheetData>
  <sheetProtection/>
  <mergeCells count="30">
    <mergeCell ref="B50:C50"/>
    <mergeCell ref="F52:G52"/>
    <mergeCell ref="B46:C46"/>
    <mergeCell ref="F48:G48"/>
    <mergeCell ref="B51:C51"/>
    <mergeCell ref="F51:G51"/>
    <mergeCell ref="F50:G50"/>
    <mergeCell ref="F49:G49"/>
    <mergeCell ref="B49:C49"/>
    <mergeCell ref="A1:I1"/>
    <mergeCell ref="A2:I2"/>
    <mergeCell ref="A3:K3"/>
    <mergeCell ref="A5:I5"/>
    <mergeCell ref="A10:I10"/>
    <mergeCell ref="A11:I11"/>
    <mergeCell ref="B48:C48"/>
    <mergeCell ref="A38:B38"/>
    <mergeCell ref="A39:B40"/>
    <mergeCell ref="F47:G47"/>
    <mergeCell ref="B47:C47"/>
    <mergeCell ref="B45:C45"/>
    <mergeCell ref="F44:G44"/>
    <mergeCell ref="F45:G45"/>
    <mergeCell ref="F43:G43"/>
    <mergeCell ref="A12:I12"/>
    <mergeCell ref="A34:C34"/>
    <mergeCell ref="A41:I41"/>
    <mergeCell ref="F46:G46"/>
    <mergeCell ref="B44:C44"/>
    <mergeCell ref="B43:C43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A1:N58"/>
  <sheetViews>
    <sheetView zoomScalePageLayoutView="0" workbookViewId="0" topLeftCell="A40">
      <selection activeCell="N49" sqref="N49"/>
    </sheetView>
  </sheetViews>
  <sheetFormatPr defaultColWidth="9.140625" defaultRowHeight="15" outlineLevelCol="1"/>
  <cols>
    <col min="1" max="1" width="4.7109375" style="35" customWidth="1"/>
    <col min="2" max="2" width="40.7109375" style="35" customWidth="1"/>
    <col min="3" max="3" width="14.140625" style="35" customWidth="1"/>
    <col min="4" max="5" width="12.7109375" style="35" customWidth="1"/>
    <col min="6" max="6" width="14.5742187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4" width="9.140625" style="35" customWidth="1"/>
    <col min="15" max="15" width="11.421875" style="35" bestFit="1" customWidth="1"/>
    <col min="16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6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4.2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3" customHeight="1"/>
    <row r="7" spans="1:6" s="67" customFormat="1" ht="16.5" customHeight="1">
      <c r="A7" s="67" t="s">
        <v>2</v>
      </c>
      <c r="F7" s="126" t="s">
        <v>127</v>
      </c>
    </row>
    <row r="8" spans="1:11" s="67" customFormat="1" ht="15">
      <c r="A8" s="67" t="s">
        <v>3</v>
      </c>
      <c r="F8" s="291" t="s">
        <v>360</v>
      </c>
      <c r="I8" s="199">
        <v>122.3</v>
      </c>
      <c r="J8" s="199">
        <v>3068.5</v>
      </c>
      <c r="K8" s="199">
        <f>I8+J8</f>
        <v>3190.8</v>
      </c>
    </row>
    <row r="9" spans="2:6" s="67" customFormat="1" ht="15" customHeight="1">
      <c r="B9" s="67" t="s">
        <v>507</v>
      </c>
      <c r="F9" s="291" t="s">
        <v>521</v>
      </c>
    </row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'[2]Билибина 26'!$G$36</f>
        <v>0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'[2]Билибина 26'!$G$37</f>
        <v>-98059.17730000002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67" customFormat="1" ht="29.25">
      <c r="A18" s="75" t="s">
        <v>14</v>
      </c>
      <c r="B18" s="41" t="s">
        <v>15</v>
      </c>
      <c r="C18" s="135">
        <f>C19+C20+C21+C22</f>
        <v>9.879999999999999</v>
      </c>
      <c r="D18" s="76">
        <v>400453.5</v>
      </c>
      <c r="E18" s="76">
        <v>389106.28</v>
      </c>
      <c r="F18" s="76">
        <f aca="true" t="shared" si="0" ref="F18:F25">D18</f>
        <v>400453.5</v>
      </c>
      <c r="G18" s="77">
        <f>D18-E18</f>
        <v>11347.219999999972</v>
      </c>
      <c r="H18" s="78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140239.78846153847</v>
      </c>
      <c r="E19" s="83">
        <f>E18*I19</f>
        <v>136265.96445344132</v>
      </c>
      <c r="F19" s="83">
        <f t="shared" si="0"/>
        <v>140239.78846153847</v>
      </c>
      <c r="G19" s="84">
        <f>D19-E19</f>
        <v>3973.8240080971445</v>
      </c>
      <c r="H19" s="78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68498.625</v>
      </c>
      <c r="E20" s="83">
        <f>E18*I20</f>
        <v>66557.65315789475</v>
      </c>
      <c r="F20" s="83">
        <f t="shared" si="0"/>
        <v>68498.625</v>
      </c>
      <c r="G20" s="84">
        <f>D20-E20</f>
        <v>1940.971842105253</v>
      </c>
      <c r="H20" s="78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68498.625</v>
      </c>
      <c r="E21" s="83">
        <f>E18*I21</f>
        <v>66557.65315789475</v>
      </c>
      <c r="F21" s="83">
        <f t="shared" si="0"/>
        <v>68498.625</v>
      </c>
      <c r="G21" s="84">
        <f>D21-E21</f>
        <v>1940.971842105253</v>
      </c>
      <c r="H21" s="78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123216.46153846155</v>
      </c>
      <c r="E22" s="83">
        <f>E18*I22</f>
        <v>119725.00923076924</v>
      </c>
      <c r="F22" s="83">
        <f t="shared" si="0"/>
        <v>123216.46153846155</v>
      </c>
      <c r="G22" s="84">
        <f>D22-E22</f>
        <v>3491.452307692307</v>
      </c>
      <c r="H22" s="78">
        <f>C22</f>
        <v>3.04</v>
      </c>
      <c r="I22" s="67">
        <f>H22/H18</f>
        <v>0.3076923076923077</v>
      </c>
    </row>
    <row r="23" spans="1:9" ht="15">
      <c r="A23" s="41" t="s">
        <v>25</v>
      </c>
      <c r="B23" s="140" t="s">
        <v>226</v>
      </c>
      <c r="C23" s="46">
        <v>130</v>
      </c>
      <c r="D23" s="77">
        <v>80150</v>
      </c>
      <c r="E23" s="77">
        <v>72071.85</v>
      </c>
      <c r="F23" s="77">
        <f t="shared" si="0"/>
        <v>80150</v>
      </c>
      <c r="G23" s="77">
        <f aca="true" t="shared" si="1" ref="G23:G33">D23-E23</f>
        <v>8078.149999999994</v>
      </c>
      <c r="H23" s="35">
        <f>130*70</f>
        <v>9100</v>
      </c>
      <c r="I23" s="358">
        <f>D23/H23</f>
        <v>8.807692307692308</v>
      </c>
    </row>
    <row r="24" spans="1:7" ht="15">
      <c r="A24" s="41" t="s">
        <v>27</v>
      </c>
      <c r="B24" s="140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ht="15">
      <c r="A25" s="41" t="s">
        <v>29</v>
      </c>
      <c r="B25" s="140" t="s">
        <v>161</v>
      </c>
      <c r="C25" s="141" t="s">
        <v>296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</row>
    <row r="26" spans="1:14" ht="15">
      <c r="A26" s="41" t="s">
        <v>31</v>
      </c>
      <c r="B26" s="140" t="s">
        <v>116</v>
      </c>
      <c r="C26" s="97">
        <v>1.86</v>
      </c>
      <c r="D26" s="77">
        <v>70543.32</v>
      </c>
      <c r="E26" s="77">
        <v>67546.84</v>
      </c>
      <c r="F26" s="87">
        <f>F43</f>
        <v>62095.4684</v>
      </c>
      <c r="G26" s="77">
        <f t="shared" si="1"/>
        <v>2996.4800000000105</v>
      </c>
      <c r="N26" s="35">
        <v>0</v>
      </c>
    </row>
    <row r="27" spans="1:7" ht="15">
      <c r="A27" s="41" t="s">
        <v>33</v>
      </c>
      <c r="B27" s="134" t="s">
        <v>34</v>
      </c>
      <c r="C27" s="46">
        <v>0</v>
      </c>
      <c r="D27" s="77">
        <v>0</v>
      </c>
      <c r="E27" s="77">
        <v>0</v>
      </c>
      <c r="F27" s="87">
        <v>0</v>
      </c>
      <c r="G27" s="77">
        <f t="shared" si="1"/>
        <v>0</v>
      </c>
    </row>
    <row r="28" spans="1:7" ht="15">
      <c r="A28" s="41" t="s">
        <v>35</v>
      </c>
      <c r="B28" s="134" t="s">
        <v>36</v>
      </c>
      <c r="C28" s="97"/>
      <c r="D28" s="77">
        <f>SUM(D29:D32)</f>
        <v>1655146.5</v>
      </c>
      <c r="E28" s="77">
        <f>SUM(E29:E32)</f>
        <v>1604150.97</v>
      </c>
      <c r="F28" s="77">
        <f>SUM(F29:F32)</f>
        <v>1655146.5</v>
      </c>
      <c r="G28" s="77">
        <f>D28-E28</f>
        <v>50995.53000000003</v>
      </c>
    </row>
    <row r="29" spans="1:7" ht="15">
      <c r="A29" s="34" t="s">
        <v>37</v>
      </c>
      <c r="B29" s="34" t="s">
        <v>165</v>
      </c>
      <c r="C29" s="285">
        <v>6</v>
      </c>
      <c r="D29" s="84">
        <v>19220.56</v>
      </c>
      <c r="E29" s="84">
        <v>18019.16</v>
      </c>
      <c r="F29" s="84">
        <f>D29</f>
        <v>19220.56</v>
      </c>
      <c r="G29" s="84">
        <f t="shared" si="1"/>
        <v>1201.4000000000015</v>
      </c>
    </row>
    <row r="30" spans="1:7" ht="15">
      <c r="A30" s="34" t="s">
        <v>39</v>
      </c>
      <c r="B30" s="34" t="s">
        <v>137</v>
      </c>
      <c r="C30" s="285">
        <v>57.08</v>
      </c>
      <c r="D30" s="84">
        <v>423181.05</v>
      </c>
      <c r="E30" s="84">
        <v>412970.28</v>
      </c>
      <c r="F30" s="84">
        <f>D30</f>
        <v>423181.05</v>
      </c>
      <c r="G30" s="84">
        <f t="shared" si="1"/>
        <v>10210.76999999996</v>
      </c>
    </row>
    <row r="31" spans="1:7" ht="15">
      <c r="A31" s="34" t="s">
        <v>42</v>
      </c>
      <c r="B31" s="34" t="s">
        <v>40</v>
      </c>
      <c r="C31" s="286">
        <v>0</v>
      </c>
      <c r="D31" s="84">
        <v>0</v>
      </c>
      <c r="E31" s="84">
        <v>0</v>
      </c>
      <c r="F31" s="84">
        <f>D31</f>
        <v>0</v>
      </c>
      <c r="G31" s="84">
        <f t="shared" si="1"/>
        <v>0</v>
      </c>
    </row>
    <row r="32" spans="1:7" ht="15">
      <c r="A32" s="34" t="s">
        <v>41</v>
      </c>
      <c r="B32" s="34" t="s">
        <v>43</v>
      </c>
      <c r="C32" s="285">
        <v>2638.8</v>
      </c>
      <c r="D32" s="84">
        <v>1212744.89</v>
      </c>
      <c r="E32" s="84">
        <v>1173161.53</v>
      </c>
      <c r="F32" s="84">
        <f>D32</f>
        <v>1212744.89</v>
      </c>
      <c r="G32" s="84">
        <f>D32-E32</f>
        <v>39583.35999999987</v>
      </c>
    </row>
    <row r="33" spans="1:7" ht="15">
      <c r="A33" s="34" t="s">
        <v>192</v>
      </c>
      <c r="B33" s="336" t="s">
        <v>389</v>
      </c>
      <c r="C33" s="285"/>
      <c r="D33" s="84">
        <f>12000+12000+(500*12)+(500*12)+(500*12)+(500*12)</f>
        <v>48000</v>
      </c>
      <c r="E33" s="84">
        <f>11094+11243+14203</f>
        <v>36540</v>
      </c>
      <c r="F33" s="84">
        <v>0</v>
      </c>
      <c r="G33" s="84">
        <f t="shared" si="1"/>
        <v>11460</v>
      </c>
    </row>
    <row r="34" spans="1:7" ht="15">
      <c r="A34" s="168"/>
      <c r="B34" s="418"/>
      <c r="C34" s="487" t="s">
        <v>557</v>
      </c>
      <c r="D34" s="488"/>
      <c r="E34" s="488"/>
      <c r="F34" s="488"/>
      <c r="G34" s="424">
        <f>E33-(E33*15%)</f>
        <v>31059</v>
      </c>
    </row>
    <row r="35" spans="1:7" ht="15.75" thickBot="1">
      <c r="A35" s="446" t="s">
        <v>294</v>
      </c>
      <c r="B35" s="447"/>
      <c r="C35" s="447"/>
      <c r="D35" s="448"/>
      <c r="E35" s="448"/>
      <c r="F35" s="448"/>
      <c r="G35" s="170"/>
    </row>
    <row r="36" spans="1:10" s="102" customFormat="1" ht="14.25" thickBot="1">
      <c r="A36" s="455" t="s">
        <v>413</v>
      </c>
      <c r="B36" s="456"/>
      <c r="C36" s="456"/>
      <c r="D36" s="65">
        <v>1298475.96</v>
      </c>
      <c r="E36" s="66"/>
      <c r="F36" s="66"/>
      <c r="G36" s="66"/>
      <c r="H36" s="101"/>
      <c r="I36" s="101"/>
      <c r="J36" s="101"/>
    </row>
    <row r="37" spans="1:9" s="67" customFormat="1" ht="8.25" customHeight="1" thickBot="1">
      <c r="A37" s="68"/>
      <c r="B37" s="68"/>
      <c r="C37" s="68"/>
      <c r="D37" s="40"/>
      <c r="E37" s="66"/>
      <c r="F37" s="66"/>
      <c r="G37" s="66"/>
      <c r="H37" s="62"/>
      <c r="I37" s="62"/>
    </row>
    <row r="38" spans="1:9" s="67" customFormat="1" ht="15.75" thickBot="1">
      <c r="A38" s="63" t="s">
        <v>414</v>
      </c>
      <c r="B38" s="64"/>
      <c r="C38" s="64"/>
      <c r="D38" s="69"/>
      <c r="E38" s="70"/>
      <c r="F38" s="70"/>
      <c r="G38" s="144">
        <f>G14+E27-F27</f>
        <v>0</v>
      </c>
      <c r="H38" s="62"/>
      <c r="I38" s="62"/>
    </row>
    <row r="39" spans="1:9" s="67" customFormat="1" ht="15.75" thickBot="1">
      <c r="A39" s="63" t="s">
        <v>415</v>
      </c>
      <c r="B39" s="64"/>
      <c r="C39" s="64"/>
      <c r="D39" s="69"/>
      <c r="E39" s="70"/>
      <c r="F39" s="70"/>
      <c r="G39" s="144">
        <f>G15+E26-F26</f>
        <v>-92607.80570000003</v>
      </c>
      <c r="H39" s="62"/>
      <c r="I39" s="62"/>
    </row>
    <row r="40" spans="1:9" ht="28.5" customHeight="1">
      <c r="A40" s="537" t="s">
        <v>44</v>
      </c>
      <c r="B40" s="537"/>
      <c r="C40" s="537"/>
      <c r="D40" s="537"/>
      <c r="E40" s="537"/>
      <c r="F40" s="537"/>
      <c r="G40" s="537"/>
      <c r="H40" s="537"/>
      <c r="I40" s="537"/>
    </row>
    <row r="41" ht="3.75" customHeight="1"/>
    <row r="42" spans="1:7" s="171" customFormat="1" ht="28.5" customHeight="1">
      <c r="A42" s="105" t="s">
        <v>11</v>
      </c>
      <c r="B42" s="471" t="s">
        <v>45</v>
      </c>
      <c r="C42" s="484"/>
      <c r="D42" s="105" t="s">
        <v>163</v>
      </c>
      <c r="E42" s="105" t="s">
        <v>162</v>
      </c>
      <c r="F42" s="471" t="s">
        <v>46</v>
      </c>
      <c r="G42" s="484"/>
    </row>
    <row r="43" spans="1:7" s="114" customFormat="1" ht="13.5" customHeight="1">
      <c r="A43" s="109" t="s">
        <v>47</v>
      </c>
      <c r="B43" s="473" t="s">
        <v>111</v>
      </c>
      <c r="C43" s="491"/>
      <c r="D43" s="110"/>
      <c r="E43" s="110"/>
      <c r="F43" s="496">
        <f>SUM(F44:L50)</f>
        <v>62095.4684</v>
      </c>
      <c r="G43" s="483"/>
    </row>
    <row r="44" spans="1:7" ht="27.75" customHeight="1">
      <c r="A44" s="34" t="s">
        <v>16</v>
      </c>
      <c r="B44" s="462" t="s">
        <v>326</v>
      </c>
      <c r="C44" s="489"/>
      <c r="D44" s="403"/>
      <c r="E44" s="403" t="s">
        <v>221</v>
      </c>
      <c r="F44" s="525">
        <v>180</v>
      </c>
      <c r="G44" s="526"/>
    </row>
    <row r="45" spans="1:7" ht="30" customHeight="1">
      <c r="A45" s="34" t="s">
        <v>18</v>
      </c>
      <c r="B45" s="462" t="s">
        <v>326</v>
      </c>
      <c r="C45" s="489"/>
      <c r="D45" s="403"/>
      <c r="E45" s="403" t="s">
        <v>221</v>
      </c>
      <c r="F45" s="497">
        <v>3840</v>
      </c>
      <c r="G45" s="497"/>
    </row>
    <row r="46" spans="1:7" ht="17.25" customHeight="1">
      <c r="A46" s="34" t="s">
        <v>20</v>
      </c>
      <c r="B46" s="462" t="s">
        <v>168</v>
      </c>
      <c r="C46" s="489"/>
      <c r="D46" s="403"/>
      <c r="E46" s="403"/>
      <c r="F46" s="525">
        <v>49000</v>
      </c>
      <c r="G46" s="526"/>
    </row>
    <row r="47" spans="1:7" ht="17.25" customHeight="1">
      <c r="A47" s="34" t="s">
        <v>22</v>
      </c>
      <c r="B47" s="449" t="s">
        <v>814</v>
      </c>
      <c r="C47" s="641"/>
      <c r="D47" s="118" t="s">
        <v>391</v>
      </c>
      <c r="E47" s="118">
        <v>3</v>
      </c>
      <c r="F47" s="490">
        <v>8400</v>
      </c>
      <c r="G47" s="490"/>
    </row>
    <row r="48" spans="1:7" ht="17.25" customHeight="1">
      <c r="A48" s="34" t="s">
        <v>24</v>
      </c>
      <c r="B48" s="462"/>
      <c r="C48" s="498"/>
      <c r="D48" s="403"/>
      <c r="E48" s="403"/>
      <c r="F48" s="482"/>
      <c r="G48" s="482"/>
    </row>
    <row r="49" spans="1:7" ht="17.25" customHeight="1">
      <c r="A49" s="34" t="s">
        <v>103</v>
      </c>
      <c r="B49" s="462"/>
      <c r="C49" s="498"/>
      <c r="D49" s="403"/>
      <c r="E49" s="403"/>
      <c r="F49" s="482"/>
      <c r="G49" s="482"/>
    </row>
    <row r="50" spans="1:7" s="67" customFormat="1" ht="13.5" customHeight="1">
      <c r="A50" s="34" t="s">
        <v>104</v>
      </c>
      <c r="B50" s="148" t="s">
        <v>188</v>
      </c>
      <c r="C50" s="149"/>
      <c r="D50" s="118"/>
      <c r="E50" s="118"/>
      <c r="F50" s="495">
        <f>E26*1%</f>
        <v>675.4684</v>
      </c>
      <c r="G50" s="495"/>
    </row>
    <row r="51" spans="8:9" s="67" customFormat="1" ht="15">
      <c r="H51" s="35"/>
      <c r="I51" s="35"/>
    </row>
    <row r="52" spans="1:9" s="67" customFormat="1" ht="15">
      <c r="A52" s="67" t="s">
        <v>55</v>
      </c>
      <c r="C52" s="67" t="s">
        <v>49</v>
      </c>
      <c r="F52" s="67" t="s">
        <v>90</v>
      </c>
      <c r="H52" s="35"/>
      <c r="I52" s="35"/>
    </row>
    <row r="53" spans="6:9" s="67" customFormat="1" ht="15">
      <c r="F53" s="126" t="s">
        <v>545</v>
      </c>
      <c r="H53" s="35"/>
      <c r="I53" s="35"/>
    </row>
    <row r="54" spans="1:9" s="67" customFormat="1" ht="15">
      <c r="A54" s="67" t="s">
        <v>50</v>
      </c>
      <c r="H54" s="35"/>
      <c r="I54" s="35"/>
    </row>
    <row r="55" spans="1:7" ht="15">
      <c r="A55" s="67"/>
      <c r="B55" s="67"/>
      <c r="C55" s="128" t="s">
        <v>51</v>
      </c>
      <c r="D55" s="67"/>
      <c r="E55" s="128"/>
      <c r="F55" s="128"/>
      <c r="G55" s="128"/>
    </row>
    <row r="56" spans="1:9" ht="15">
      <c r="A56" s="67"/>
      <c r="B56" s="67"/>
      <c r="C56" s="67"/>
      <c r="D56" s="67"/>
      <c r="E56" s="67"/>
      <c r="F56" s="67"/>
      <c r="G56" s="67"/>
      <c r="H56" s="67"/>
      <c r="I56" s="67"/>
    </row>
    <row r="57" spans="1:9" ht="15">
      <c r="A57" s="67"/>
      <c r="B57" s="67"/>
      <c r="C57" s="67"/>
      <c r="D57" s="67"/>
      <c r="E57" s="67"/>
      <c r="F57" s="67"/>
      <c r="G57" s="67"/>
      <c r="H57" s="67"/>
      <c r="I57" s="67"/>
    </row>
    <row r="58" spans="1:9" ht="15">
      <c r="A58" s="67"/>
      <c r="B58" s="67"/>
      <c r="C58" s="67"/>
      <c r="D58" s="67"/>
      <c r="E58" s="67"/>
      <c r="F58" s="67"/>
      <c r="G58" s="67"/>
      <c r="H58" s="67"/>
      <c r="I58" s="67"/>
    </row>
  </sheetData>
  <sheetProtection/>
  <mergeCells count="28">
    <mergeCell ref="B47:C47"/>
    <mergeCell ref="B48:C48"/>
    <mergeCell ref="B49:C49"/>
    <mergeCell ref="F47:G47"/>
    <mergeCell ref="F48:G48"/>
    <mergeCell ref="F49:G49"/>
    <mergeCell ref="A1:I1"/>
    <mergeCell ref="A2:I2"/>
    <mergeCell ref="A3:K3"/>
    <mergeCell ref="A5:I5"/>
    <mergeCell ref="A10:I10"/>
    <mergeCell ref="A12:I12"/>
    <mergeCell ref="A11:I11"/>
    <mergeCell ref="A35:F35"/>
    <mergeCell ref="F43:G43"/>
    <mergeCell ref="A36:C36"/>
    <mergeCell ref="A40:I40"/>
    <mergeCell ref="F42:G42"/>
    <mergeCell ref="B43:C43"/>
    <mergeCell ref="C34:F34"/>
    <mergeCell ref="F50:G50"/>
    <mergeCell ref="F46:G46"/>
    <mergeCell ref="B42:C42"/>
    <mergeCell ref="B45:C45"/>
    <mergeCell ref="F45:G45"/>
    <mergeCell ref="B44:C44"/>
    <mergeCell ref="B46:C46"/>
    <mergeCell ref="F44:G44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7030A0"/>
  </sheetPr>
  <dimension ref="A1:K56"/>
  <sheetViews>
    <sheetView zoomScalePageLayoutView="0" workbookViewId="0" topLeftCell="A44">
      <selection activeCell="B47" sqref="B47:G47"/>
    </sheetView>
  </sheetViews>
  <sheetFormatPr defaultColWidth="9.140625" defaultRowHeight="15" outlineLevelCol="1"/>
  <cols>
    <col min="1" max="1" width="4.7109375" style="35" customWidth="1"/>
    <col min="2" max="2" width="44.28125" style="35" customWidth="1"/>
    <col min="3" max="3" width="12.421875" style="35" customWidth="1"/>
    <col min="4" max="5" width="12.7109375" style="35" customWidth="1"/>
    <col min="6" max="6" width="15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3.421875" style="35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6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4.2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3" customHeight="1"/>
    <row r="7" spans="1:6" s="67" customFormat="1" ht="16.5" customHeight="1">
      <c r="A7" s="67" t="s">
        <v>2</v>
      </c>
      <c r="F7" s="126" t="s">
        <v>234</v>
      </c>
    </row>
    <row r="8" spans="1:6" s="67" customFormat="1" ht="15">
      <c r="A8" s="67" t="s">
        <v>3</v>
      </c>
      <c r="F8" s="291" t="s">
        <v>235</v>
      </c>
    </row>
    <row r="9" s="67" customFormat="1" ht="6" customHeight="1"/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444</v>
      </c>
      <c r="B14" s="64"/>
      <c r="C14" s="64"/>
      <c r="D14" s="69"/>
      <c r="E14" s="70"/>
      <c r="F14" s="70"/>
      <c r="G14" s="144">
        <f>'[2]Московская 167'!$G$37</f>
        <v>0</v>
      </c>
      <c r="H14" s="62"/>
      <c r="I14" s="62"/>
    </row>
    <row r="15" spans="1:9" s="67" customFormat="1" ht="15.75" thickBot="1">
      <c r="A15" s="63" t="s">
        <v>445</v>
      </c>
      <c r="B15" s="64"/>
      <c r="C15" s="64"/>
      <c r="D15" s="69"/>
      <c r="E15" s="70"/>
      <c r="F15" s="70"/>
      <c r="G15" s="144">
        <f>'[2]Московская 167'!$G$38</f>
        <v>-119505.06740000001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67" customFormat="1" ht="29.25">
      <c r="A18" s="75" t="s">
        <v>14</v>
      </c>
      <c r="B18" s="41" t="s">
        <v>15</v>
      </c>
      <c r="C18" s="135">
        <f>C19+C20+C21+C22</f>
        <v>9.879999999999999</v>
      </c>
      <c r="D18" s="76">
        <v>406285.92</v>
      </c>
      <c r="E18" s="76">
        <v>414386.2</v>
      </c>
      <c r="F18" s="76">
        <f aca="true" t="shared" si="0" ref="F18:F26">D18</f>
        <v>406285.92</v>
      </c>
      <c r="G18" s="77">
        <f>D18-E18</f>
        <v>-8100.280000000028</v>
      </c>
      <c r="H18" s="78">
        <f aca="true" t="shared" si="1" ref="H18:H23"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142282.31611336034</v>
      </c>
      <c r="E19" s="83">
        <f>E18*I19</f>
        <v>145119.05384615387</v>
      </c>
      <c r="F19" s="83">
        <f t="shared" si="0"/>
        <v>142282.31611336034</v>
      </c>
      <c r="G19" s="84">
        <f>D19-E19</f>
        <v>-2836.7377327935246</v>
      </c>
      <c r="H19" s="78">
        <f t="shared" si="1"/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69496.27578947369</v>
      </c>
      <c r="E20" s="83">
        <f>E18*I20</f>
        <v>70881.85</v>
      </c>
      <c r="F20" s="83">
        <f t="shared" si="0"/>
        <v>69496.27578947369</v>
      </c>
      <c r="G20" s="84">
        <f>D20-E20</f>
        <v>-1385.5742105263198</v>
      </c>
      <c r="H20" s="78">
        <f t="shared" si="1"/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69496.27578947369</v>
      </c>
      <c r="E21" s="83">
        <f>E18*I21</f>
        <v>70881.85</v>
      </c>
      <c r="F21" s="83">
        <f t="shared" si="0"/>
        <v>69496.27578947369</v>
      </c>
      <c r="G21" s="84">
        <f>D21-E21</f>
        <v>-1385.5742105263198</v>
      </c>
      <c r="H21" s="78">
        <f t="shared" si="1"/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125011.05230769231</v>
      </c>
      <c r="E22" s="83">
        <f>E18*I22</f>
        <v>127503.44615384616</v>
      </c>
      <c r="F22" s="83">
        <f t="shared" si="0"/>
        <v>125011.05230769231</v>
      </c>
      <c r="G22" s="84">
        <f>D22-E22</f>
        <v>-2492.393846153849</v>
      </c>
      <c r="H22" s="78">
        <f t="shared" si="1"/>
        <v>3.04</v>
      </c>
      <c r="I22" s="67">
        <f>H22/H18</f>
        <v>0.3076923076923077</v>
      </c>
    </row>
    <row r="23" spans="1:8" s="67" customFormat="1" ht="15">
      <c r="A23" s="41" t="s">
        <v>25</v>
      </c>
      <c r="B23" s="41" t="s">
        <v>26</v>
      </c>
      <c r="C23" s="135">
        <v>3.86</v>
      </c>
      <c r="D23" s="76">
        <v>158614.2</v>
      </c>
      <c r="E23" s="76">
        <v>163312.95</v>
      </c>
      <c r="F23" s="76">
        <f>D23</f>
        <v>158614.2</v>
      </c>
      <c r="G23" s="77">
        <f aca="true" t="shared" si="2" ref="G23:G33">D23-E23</f>
        <v>-4698.75</v>
      </c>
      <c r="H23" s="78">
        <f t="shared" si="1"/>
        <v>3.86</v>
      </c>
    </row>
    <row r="24" spans="1:9" ht="39.75" customHeight="1">
      <c r="A24" s="41" t="s">
        <v>27</v>
      </c>
      <c r="B24" s="86" t="s">
        <v>462</v>
      </c>
      <c r="C24" s="46">
        <v>2.51</v>
      </c>
      <c r="D24" s="77">
        <v>103140.24</v>
      </c>
      <c r="E24" s="77">
        <v>106024.56</v>
      </c>
      <c r="F24" s="77">
        <f t="shared" si="0"/>
        <v>103140.24</v>
      </c>
      <c r="G24" s="77">
        <f t="shared" si="2"/>
        <v>-2884.3199999999924</v>
      </c>
      <c r="H24" s="35">
        <f>2.51*3424.3</f>
        <v>8594.993</v>
      </c>
      <c r="I24" s="358">
        <f>D24/H24</f>
        <v>12.00003769636578</v>
      </c>
    </row>
    <row r="25" spans="1:7" ht="15">
      <c r="A25" s="41" t="s">
        <v>29</v>
      </c>
      <c r="B25" s="86" t="s">
        <v>28</v>
      </c>
      <c r="C25" s="97">
        <v>0</v>
      </c>
      <c r="D25" s="77">
        <v>0</v>
      </c>
      <c r="E25" s="77">
        <v>0</v>
      </c>
      <c r="F25" s="77">
        <f t="shared" si="0"/>
        <v>0</v>
      </c>
      <c r="G25" s="77">
        <f t="shared" si="2"/>
        <v>0</v>
      </c>
    </row>
    <row r="26" spans="1:7" ht="15.75" customHeight="1">
      <c r="A26" s="41" t="s">
        <v>31</v>
      </c>
      <c r="B26" s="86" t="s">
        <v>161</v>
      </c>
      <c r="C26" s="141">
        <v>12.54</v>
      </c>
      <c r="D26" s="77">
        <v>0</v>
      </c>
      <c r="E26" s="77">
        <v>0</v>
      </c>
      <c r="F26" s="77">
        <f t="shared" si="0"/>
        <v>0</v>
      </c>
      <c r="G26" s="77">
        <f t="shared" si="2"/>
        <v>0</v>
      </c>
    </row>
    <row r="27" spans="1:7" ht="15">
      <c r="A27" s="41" t="s">
        <v>191</v>
      </c>
      <c r="B27" s="86" t="s">
        <v>116</v>
      </c>
      <c r="C27" s="97">
        <v>1.86</v>
      </c>
      <c r="D27" s="77">
        <v>76431</v>
      </c>
      <c r="E27" s="77">
        <v>78707.62</v>
      </c>
      <c r="F27" s="87">
        <f>F43</f>
        <v>36383.0762</v>
      </c>
      <c r="G27" s="77">
        <f t="shared" si="2"/>
        <v>-2276.6199999999953</v>
      </c>
    </row>
    <row r="28" spans="1:7" ht="15">
      <c r="A28" s="41" t="s">
        <v>236</v>
      </c>
      <c r="B28" s="41" t="s">
        <v>34</v>
      </c>
      <c r="C28" s="46">
        <v>0</v>
      </c>
      <c r="D28" s="77">
        <v>0</v>
      </c>
      <c r="E28" s="77">
        <v>0</v>
      </c>
      <c r="F28" s="87">
        <v>0</v>
      </c>
      <c r="G28" s="77">
        <f t="shared" si="2"/>
        <v>0</v>
      </c>
    </row>
    <row r="29" spans="1:7" ht="15">
      <c r="A29" s="41" t="s">
        <v>192</v>
      </c>
      <c r="B29" s="41" t="s">
        <v>36</v>
      </c>
      <c r="C29" s="97"/>
      <c r="D29" s="77">
        <f>SUM(D30:D33)</f>
        <v>117230.16</v>
      </c>
      <c r="E29" s="77">
        <f>SUM(E30:E33)</f>
        <v>120438.93999999999</v>
      </c>
      <c r="F29" s="77">
        <f>SUM(F30:F33)</f>
        <v>117230.16</v>
      </c>
      <c r="G29" s="77">
        <f t="shared" si="2"/>
        <v>-3208.7799999999843</v>
      </c>
    </row>
    <row r="30" spans="1:7" ht="15">
      <c r="A30" s="34" t="s">
        <v>194</v>
      </c>
      <c r="B30" s="34" t="s">
        <v>165</v>
      </c>
      <c r="C30" s="285">
        <v>6</v>
      </c>
      <c r="D30" s="84">
        <v>108294</v>
      </c>
      <c r="E30" s="84">
        <v>111257.79</v>
      </c>
      <c r="F30" s="84">
        <f>D30</f>
        <v>108294</v>
      </c>
      <c r="G30" s="84">
        <f t="shared" si="2"/>
        <v>-2963.7899999999936</v>
      </c>
    </row>
    <row r="31" spans="1:7" ht="15">
      <c r="A31" s="34" t="s">
        <v>195</v>
      </c>
      <c r="B31" s="34" t="s">
        <v>137</v>
      </c>
      <c r="C31" s="285">
        <v>57.08</v>
      </c>
      <c r="D31" s="84">
        <v>8936.16</v>
      </c>
      <c r="E31" s="84">
        <v>9181.15</v>
      </c>
      <c r="F31" s="84">
        <f>D31</f>
        <v>8936.16</v>
      </c>
      <c r="G31" s="84">
        <f t="shared" si="2"/>
        <v>-244.98999999999978</v>
      </c>
    </row>
    <row r="32" spans="1:9" s="38" customFormat="1" ht="15">
      <c r="A32" s="34" t="s">
        <v>196</v>
      </c>
      <c r="B32" s="34" t="s">
        <v>40</v>
      </c>
      <c r="C32" s="143"/>
      <c r="D32" s="84">
        <v>0</v>
      </c>
      <c r="E32" s="84">
        <v>0</v>
      </c>
      <c r="F32" s="84">
        <f>D32</f>
        <v>0</v>
      </c>
      <c r="G32" s="84">
        <f t="shared" si="2"/>
        <v>0</v>
      </c>
      <c r="H32" s="35"/>
      <c r="I32" s="35"/>
    </row>
    <row r="33" spans="1:7" ht="23.25" customHeight="1">
      <c r="A33" s="34" t="s">
        <v>197</v>
      </c>
      <c r="B33" s="34" t="s">
        <v>43</v>
      </c>
      <c r="C33" s="99"/>
      <c r="D33" s="84">
        <v>0</v>
      </c>
      <c r="E33" s="84">
        <v>0</v>
      </c>
      <c r="F33" s="84">
        <f>D33</f>
        <v>0</v>
      </c>
      <c r="G33" s="84">
        <f t="shared" si="2"/>
        <v>0</v>
      </c>
    </row>
    <row r="34" spans="1:7" ht="23.25" customHeight="1" thickBot="1">
      <c r="A34" s="446" t="s">
        <v>294</v>
      </c>
      <c r="B34" s="447"/>
      <c r="C34" s="447"/>
      <c r="D34" s="448"/>
      <c r="E34" s="448"/>
      <c r="F34" s="448"/>
      <c r="G34" s="170"/>
    </row>
    <row r="35" spans="1:10" s="102" customFormat="1" ht="14.25" thickBot="1">
      <c r="A35" s="455" t="s">
        <v>413</v>
      </c>
      <c r="B35" s="456"/>
      <c r="C35" s="456"/>
      <c r="D35" s="65">
        <v>144367.67</v>
      </c>
      <c r="E35" s="66"/>
      <c r="F35" s="66"/>
      <c r="G35" s="66"/>
      <c r="H35" s="101"/>
      <c r="I35" s="101"/>
      <c r="J35" s="101"/>
    </row>
    <row r="36" spans="1:9" s="67" customFormat="1" ht="15.75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414</v>
      </c>
      <c r="B37" s="64"/>
      <c r="C37" s="64"/>
      <c r="D37" s="69"/>
      <c r="E37" s="70"/>
      <c r="F37" s="70"/>
      <c r="G37" s="144">
        <f>G14+E28-F28</f>
        <v>0</v>
      </c>
      <c r="H37" s="62"/>
      <c r="I37" s="62"/>
    </row>
    <row r="38" spans="1:9" s="67" customFormat="1" ht="15.75" thickBot="1">
      <c r="A38" s="63" t="s">
        <v>415</v>
      </c>
      <c r="B38" s="64"/>
      <c r="C38" s="64"/>
      <c r="D38" s="69"/>
      <c r="E38" s="70"/>
      <c r="F38" s="70"/>
      <c r="G38" s="144">
        <f>G15+E27-F27</f>
        <v>-77180.52360000001</v>
      </c>
      <c r="H38" s="62"/>
      <c r="I38" s="62"/>
    </row>
    <row r="39" spans="1:9" s="67" customFormat="1" ht="15">
      <c r="A39" s="68"/>
      <c r="B39" s="68"/>
      <c r="C39" s="68"/>
      <c r="D39" s="40"/>
      <c r="E39" s="66"/>
      <c r="F39" s="66"/>
      <c r="G39" s="40"/>
      <c r="H39" s="62"/>
      <c r="I39" s="62"/>
    </row>
    <row r="40" spans="1:9" s="67" customFormat="1" ht="29.25" customHeight="1">
      <c r="A40" s="537" t="s">
        <v>44</v>
      </c>
      <c r="B40" s="537"/>
      <c r="C40" s="537"/>
      <c r="D40" s="537"/>
      <c r="E40" s="537"/>
      <c r="F40" s="537"/>
      <c r="G40" s="537"/>
      <c r="H40" s="537"/>
      <c r="I40" s="537"/>
    </row>
    <row r="41" ht="26.25" customHeight="1"/>
    <row r="42" spans="1:9" ht="28.5">
      <c r="A42" s="105" t="s">
        <v>11</v>
      </c>
      <c r="B42" s="471" t="s">
        <v>45</v>
      </c>
      <c r="C42" s="484"/>
      <c r="D42" s="105" t="s">
        <v>163</v>
      </c>
      <c r="E42" s="105" t="s">
        <v>162</v>
      </c>
      <c r="F42" s="471" t="s">
        <v>46</v>
      </c>
      <c r="G42" s="484"/>
      <c r="H42" s="171"/>
      <c r="I42" s="171"/>
    </row>
    <row r="43" spans="1:9" s="171" customFormat="1" ht="15">
      <c r="A43" s="109" t="s">
        <v>47</v>
      </c>
      <c r="B43" s="473" t="s">
        <v>111</v>
      </c>
      <c r="C43" s="491"/>
      <c r="D43" s="110"/>
      <c r="E43" s="110"/>
      <c r="F43" s="496">
        <f>SUM(F44:L49)</f>
        <v>36383.0762</v>
      </c>
      <c r="G43" s="483"/>
      <c r="H43" s="114"/>
      <c r="I43" s="114"/>
    </row>
    <row r="44" spans="1:9" s="114" customFormat="1" ht="27.75" customHeight="1">
      <c r="A44" s="34" t="s">
        <v>16</v>
      </c>
      <c r="B44" s="462" t="s">
        <v>342</v>
      </c>
      <c r="C44" s="489"/>
      <c r="D44" s="403" t="s">
        <v>164</v>
      </c>
      <c r="E44" s="403">
        <v>2</v>
      </c>
      <c r="F44" s="525">
        <v>3800</v>
      </c>
      <c r="G44" s="526"/>
      <c r="H44" s="35"/>
      <c r="I44" s="35"/>
    </row>
    <row r="45" spans="1:7" ht="26.25" customHeight="1">
      <c r="A45" s="34" t="s">
        <v>18</v>
      </c>
      <c r="B45" s="462" t="s">
        <v>544</v>
      </c>
      <c r="C45" s="489"/>
      <c r="D45" s="403"/>
      <c r="E45" s="403"/>
      <c r="F45" s="497">
        <v>2996</v>
      </c>
      <c r="G45" s="497"/>
    </row>
    <row r="46" spans="1:7" ht="27" customHeight="1">
      <c r="A46" s="34" t="s">
        <v>20</v>
      </c>
      <c r="B46" s="462" t="s">
        <v>401</v>
      </c>
      <c r="C46" s="489"/>
      <c r="D46" s="403"/>
      <c r="E46" s="403"/>
      <c r="F46" s="525">
        <v>12000</v>
      </c>
      <c r="G46" s="526"/>
    </row>
    <row r="47" spans="1:7" ht="18" customHeight="1">
      <c r="A47" s="34" t="s">
        <v>22</v>
      </c>
      <c r="B47" s="449" t="s">
        <v>814</v>
      </c>
      <c r="C47" s="451"/>
      <c r="D47" s="118" t="s">
        <v>391</v>
      </c>
      <c r="E47" s="118">
        <v>6</v>
      </c>
      <c r="F47" s="521">
        <v>16800</v>
      </c>
      <c r="G47" s="522"/>
    </row>
    <row r="48" spans="1:7" ht="13.5" customHeight="1">
      <c r="A48" s="34" t="s">
        <v>24</v>
      </c>
      <c r="B48" s="462"/>
      <c r="C48" s="489"/>
      <c r="D48" s="403"/>
      <c r="E48" s="403"/>
      <c r="F48" s="525"/>
      <c r="G48" s="526"/>
    </row>
    <row r="49" spans="1:7" s="67" customFormat="1" ht="15">
      <c r="A49" s="34" t="s">
        <v>103</v>
      </c>
      <c r="B49" s="148" t="s">
        <v>188</v>
      </c>
      <c r="C49" s="149"/>
      <c r="D49" s="118"/>
      <c r="E49" s="118"/>
      <c r="F49" s="495">
        <f>E27*1%</f>
        <v>787.0762</v>
      </c>
      <c r="G49" s="495"/>
    </row>
    <row r="50" spans="8:9" s="67" customFormat="1" ht="15">
      <c r="H50" s="35"/>
      <c r="I50" s="35"/>
    </row>
    <row r="51" spans="8:9" s="67" customFormat="1" ht="15">
      <c r="H51" s="35"/>
      <c r="I51" s="35"/>
    </row>
    <row r="52" spans="1:9" s="67" customFormat="1" ht="15">
      <c r="A52" s="67" t="s">
        <v>55</v>
      </c>
      <c r="C52" s="67" t="s">
        <v>49</v>
      </c>
      <c r="F52" s="67" t="s">
        <v>90</v>
      </c>
      <c r="H52" s="35"/>
      <c r="I52" s="35"/>
    </row>
    <row r="53" s="67" customFormat="1" ht="15">
      <c r="F53" s="126" t="s">
        <v>343</v>
      </c>
    </row>
    <row r="54" spans="1:7" ht="15">
      <c r="A54" s="67" t="s">
        <v>50</v>
      </c>
      <c r="B54" s="67"/>
      <c r="C54" s="67"/>
      <c r="D54" s="67"/>
      <c r="E54" s="67"/>
      <c r="F54" s="67"/>
      <c r="G54" s="67"/>
    </row>
    <row r="55" spans="1:7" ht="15">
      <c r="A55" s="67"/>
      <c r="B55" s="67"/>
      <c r="C55" s="128" t="s">
        <v>51</v>
      </c>
      <c r="D55" s="67"/>
      <c r="E55" s="128"/>
      <c r="F55" s="128"/>
      <c r="G55" s="128"/>
    </row>
    <row r="56" spans="1:7" ht="15">
      <c r="A56" s="67"/>
      <c r="B56" s="67"/>
      <c r="C56" s="67"/>
      <c r="D56" s="67"/>
      <c r="E56" s="67"/>
      <c r="F56" s="67"/>
      <c r="G56" s="67"/>
    </row>
  </sheetData>
  <sheetProtection/>
  <mergeCells count="25">
    <mergeCell ref="B47:C47"/>
    <mergeCell ref="F47:G47"/>
    <mergeCell ref="F49:G49"/>
    <mergeCell ref="B46:C46"/>
    <mergeCell ref="F46:G46"/>
    <mergeCell ref="B48:C48"/>
    <mergeCell ref="F48:G48"/>
    <mergeCell ref="B43:C43"/>
    <mergeCell ref="F43:G43"/>
    <mergeCell ref="B44:C44"/>
    <mergeCell ref="F44:G44"/>
    <mergeCell ref="B45:C45"/>
    <mergeCell ref="F45:G45"/>
    <mergeCell ref="A12:I12"/>
    <mergeCell ref="A35:C35"/>
    <mergeCell ref="A40:I40"/>
    <mergeCell ref="B42:C42"/>
    <mergeCell ref="F42:G42"/>
    <mergeCell ref="A34:F34"/>
    <mergeCell ref="A1:I1"/>
    <mergeCell ref="A2:I2"/>
    <mergeCell ref="A3:K3"/>
    <mergeCell ref="A5:I5"/>
    <mergeCell ref="A10:I10"/>
    <mergeCell ref="A11:I11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7030A0"/>
  </sheetPr>
  <dimension ref="A1:K55"/>
  <sheetViews>
    <sheetView zoomScalePageLayoutView="0" workbookViewId="0" topLeftCell="A34">
      <selection activeCell="F48" sqref="F48:G48"/>
    </sheetView>
  </sheetViews>
  <sheetFormatPr defaultColWidth="9.140625" defaultRowHeight="15" outlineLevelCol="1"/>
  <cols>
    <col min="1" max="1" width="4.7109375" style="35" customWidth="1"/>
    <col min="2" max="2" width="44.28125" style="35" customWidth="1"/>
    <col min="3" max="3" width="12.421875" style="35" customWidth="1"/>
    <col min="4" max="5" width="12.7109375" style="35" customWidth="1"/>
    <col min="6" max="6" width="15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3.421875" style="35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6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4.2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3" customHeight="1"/>
    <row r="7" spans="1:6" s="67" customFormat="1" ht="16.5" customHeight="1">
      <c r="A7" s="67" t="s">
        <v>2</v>
      </c>
      <c r="F7" s="126" t="s">
        <v>128</v>
      </c>
    </row>
    <row r="8" spans="1:6" s="67" customFormat="1" ht="15">
      <c r="A8" s="67" t="s">
        <v>3</v>
      </c>
      <c r="F8" s="291" t="s">
        <v>302</v>
      </c>
    </row>
    <row r="9" s="67" customFormat="1" ht="6" customHeight="1"/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'[2]Билибина 28'!$G$35</f>
        <v>0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'[2]Билибина 28'!$G$36</f>
        <v>14871.728600000002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67" customFormat="1" ht="29.25">
      <c r="A18" s="75" t="s">
        <v>14</v>
      </c>
      <c r="B18" s="41" t="s">
        <v>15</v>
      </c>
      <c r="C18" s="135">
        <f>C19+C20+C21+C22</f>
        <v>9.879999999999999</v>
      </c>
      <c r="D18" s="76">
        <v>371863.08</v>
      </c>
      <c r="E18" s="76">
        <v>363632.49</v>
      </c>
      <c r="F18" s="76">
        <f aca="true" t="shared" si="0" ref="F18:F25">D18</f>
        <v>371863.08</v>
      </c>
      <c r="G18" s="77">
        <f>D18-E18</f>
        <v>8230.590000000026</v>
      </c>
      <c r="H18" s="78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130227.35392712553</v>
      </c>
      <c r="E19" s="83">
        <f>E18*I19</f>
        <v>127344.98131578948</v>
      </c>
      <c r="F19" s="83">
        <f t="shared" si="0"/>
        <v>130227.35392712553</v>
      </c>
      <c r="G19" s="84">
        <f>D19-E19</f>
        <v>2882.3726113360462</v>
      </c>
      <c r="H19" s="78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63608.158421052634</v>
      </c>
      <c r="E20" s="83">
        <f>E18*I20</f>
        <v>62200.29434210526</v>
      </c>
      <c r="F20" s="83">
        <f t="shared" si="0"/>
        <v>63608.158421052634</v>
      </c>
      <c r="G20" s="84">
        <f>D20-E20</f>
        <v>1407.864078947372</v>
      </c>
      <c r="H20" s="78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63608.158421052634</v>
      </c>
      <c r="E21" s="83">
        <f>E18*I21</f>
        <v>62200.29434210526</v>
      </c>
      <c r="F21" s="83">
        <f t="shared" si="0"/>
        <v>63608.158421052634</v>
      </c>
      <c r="G21" s="84">
        <f>D21-E21</f>
        <v>1407.864078947372</v>
      </c>
      <c r="H21" s="78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114419.40923076925</v>
      </c>
      <c r="E22" s="83">
        <f>E18*I22</f>
        <v>111886.92</v>
      </c>
      <c r="F22" s="83">
        <f t="shared" si="0"/>
        <v>114419.40923076925</v>
      </c>
      <c r="G22" s="84">
        <f>D22-E22</f>
        <v>2532.48923076925</v>
      </c>
      <c r="H22" s="78">
        <f>C22</f>
        <v>3.04</v>
      </c>
      <c r="I22" s="67">
        <f>H22/H18</f>
        <v>0.3076923076923077</v>
      </c>
    </row>
    <row r="23" spans="1:9" ht="39.75" customHeight="1">
      <c r="A23" s="41" t="s">
        <v>25</v>
      </c>
      <c r="B23" s="86" t="s">
        <v>462</v>
      </c>
      <c r="C23" s="46" t="s">
        <v>233</v>
      </c>
      <c r="D23" s="77">
        <v>107640</v>
      </c>
      <c r="E23" s="77">
        <v>104199.22</v>
      </c>
      <c r="F23" s="77">
        <f t="shared" si="0"/>
        <v>107640</v>
      </c>
      <c r="G23" s="77">
        <f aca="true" t="shared" si="1" ref="G23:G32">D23-E23</f>
        <v>3440.779999999999</v>
      </c>
      <c r="H23" s="35">
        <f>71*130</f>
        <v>9230</v>
      </c>
      <c r="I23" s="358">
        <f>D23/H23</f>
        <v>11.661971830985916</v>
      </c>
    </row>
    <row r="24" spans="1:7" ht="15">
      <c r="A24" s="41" t="s">
        <v>27</v>
      </c>
      <c r="B24" s="140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ht="15.75" customHeight="1">
      <c r="A25" s="41" t="s">
        <v>29</v>
      </c>
      <c r="B25" s="140" t="s">
        <v>161</v>
      </c>
      <c r="C25" s="141">
        <v>0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</row>
    <row r="26" spans="1:7" ht="15">
      <c r="A26" s="41" t="s">
        <v>31</v>
      </c>
      <c r="B26" s="140" t="s">
        <v>116</v>
      </c>
      <c r="C26" s="97">
        <v>1.86</v>
      </c>
      <c r="D26" s="77">
        <v>70006.2</v>
      </c>
      <c r="E26" s="77">
        <v>68816.03</v>
      </c>
      <c r="F26" s="87">
        <f>F41</f>
        <v>56463.1603</v>
      </c>
      <c r="G26" s="77">
        <f t="shared" si="1"/>
        <v>1190.1699999999983</v>
      </c>
    </row>
    <row r="27" spans="1:7" ht="15">
      <c r="A27" s="41" t="s">
        <v>33</v>
      </c>
      <c r="B27" s="134" t="s">
        <v>34</v>
      </c>
      <c r="C27" s="46">
        <v>0</v>
      </c>
      <c r="D27" s="77">
        <v>0</v>
      </c>
      <c r="E27" s="77">
        <v>0</v>
      </c>
      <c r="F27" s="87">
        <v>0</v>
      </c>
      <c r="G27" s="77">
        <f t="shared" si="1"/>
        <v>0</v>
      </c>
    </row>
    <row r="28" spans="1:7" ht="15">
      <c r="A28" s="41" t="s">
        <v>35</v>
      </c>
      <c r="B28" s="134" t="s">
        <v>36</v>
      </c>
      <c r="C28" s="97"/>
      <c r="D28" s="77">
        <f>SUM(D29:D32)</f>
        <v>1379832.08</v>
      </c>
      <c r="E28" s="77">
        <f>SUM(E29:E32)</f>
        <v>1362142.9100000001</v>
      </c>
      <c r="F28" s="77">
        <f>SUM(F29:F32)</f>
        <v>1379832.08</v>
      </c>
      <c r="G28" s="77">
        <f t="shared" si="1"/>
        <v>17689.169999999925</v>
      </c>
    </row>
    <row r="29" spans="1:7" ht="15">
      <c r="A29" s="34" t="s">
        <v>37</v>
      </c>
      <c r="B29" s="34" t="s">
        <v>165</v>
      </c>
      <c r="C29" s="285">
        <v>6</v>
      </c>
      <c r="D29" s="84">
        <v>40530.6</v>
      </c>
      <c r="E29" s="84">
        <v>39568.84</v>
      </c>
      <c r="F29" s="84">
        <f>D29</f>
        <v>40530.6</v>
      </c>
      <c r="G29" s="84">
        <f t="shared" si="1"/>
        <v>961.760000000002</v>
      </c>
    </row>
    <row r="30" spans="1:7" ht="15">
      <c r="A30" s="34" t="s">
        <v>39</v>
      </c>
      <c r="B30" s="34" t="s">
        <v>137</v>
      </c>
      <c r="C30" s="285">
        <v>57.08</v>
      </c>
      <c r="D30" s="84">
        <v>469595.53</v>
      </c>
      <c r="E30" s="84">
        <v>466654.81</v>
      </c>
      <c r="F30" s="84">
        <f>D30</f>
        <v>469595.53</v>
      </c>
      <c r="G30" s="84">
        <f t="shared" si="1"/>
        <v>2940.7200000000303</v>
      </c>
    </row>
    <row r="31" spans="1:9" s="38" customFormat="1" ht="15">
      <c r="A31" s="34" t="s">
        <v>42</v>
      </c>
      <c r="B31" s="34" t="s">
        <v>40</v>
      </c>
      <c r="C31" s="286">
        <v>0</v>
      </c>
      <c r="D31" s="84">
        <v>0</v>
      </c>
      <c r="E31" s="84">
        <v>0</v>
      </c>
      <c r="F31" s="84">
        <f>D31</f>
        <v>0</v>
      </c>
      <c r="G31" s="84">
        <f t="shared" si="1"/>
        <v>0</v>
      </c>
      <c r="H31" s="35"/>
      <c r="I31" s="35"/>
    </row>
    <row r="32" spans="1:7" ht="23.25" customHeight="1" thickBot="1">
      <c r="A32" s="34" t="s">
        <v>41</v>
      </c>
      <c r="B32" s="34" t="s">
        <v>43</v>
      </c>
      <c r="C32" s="285">
        <v>1802.64</v>
      </c>
      <c r="D32" s="84">
        <v>869705.95</v>
      </c>
      <c r="E32" s="84">
        <v>855919.26</v>
      </c>
      <c r="F32" s="84">
        <f>D32</f>
        <v>869705.95</v>
      </c>
      <c r="G32" s="84">
        <f t="shared" si="1"/>
        <v>13786.689999999944</v>
      </c>
    </row>
    <row r="33" spans="1:10" s="102" customFormat="1" ht="14.25" thickBot="1">
      <c r="A33" s="455" t="s">
        <v>413</v>
      </c>
      <c r="B33" s="456"/>
      <c r="C33" s="456"/>
      <c r="D33" s="65">
        <v>795868.96</v>
      </c>
      <c r="E33" s="66"/>
      <c r="F33" s="66"/>
      <c r="G33" s="66"/>
      <c r="H33" s="101"/>
      <c r="I33" s="101"/>
      <c r="J33" s="101"/>
    </row>
    <row r="34" spans="1:9" s="67" customFormat="1" ht="15.75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414</v>
      </c>
      <c r="B35" s="64"/>
      <c r="C35" s="64"/>
      <c r="D35" s="69"/>
      <c r="E35" s="70"/>
      <c r="F35" s="70"/>
      <c r="G35" s="144">
        <f>G14+E27-F27</f>
        <v>0</v>
      </c>
      <c r="H35" s="62"/>
      <c r="I35" s="62"/>
    </row>
    <row r="36" spans="1:9" s="67" customFormat="1" ht="15.75" thickBot="1">
      <c r="A36" s="63" t="s">
        <v>415</v>
      </c>
      <c r="B36" s="64"/>
      <c r="C36" s="64"/>
      <c r="D36" s="69"/>
      <c r="E36" s="70"/>
      <c r="F36" s="70"/>
      <c r="G36" s="144">
        <f>G15+E26-F26</f>
        <v>27224.598299999998</v>
      </c>
      <c r="H36" s="62"/>
      <c r="I36" s="62"/>
    </row>
    <row r="37" spans="1:9" s="67" customFormat="1" ht="15">
      <c r="A37" s="68"/>
      <c r="B37" s="68"/>
      <c r="C37" s="68"/>
      <c r="D37" s="40"/>
      <c r="E37" s="66"/>
      <c r="F37" s="66"/>
      <c r="G37" s="40"/>
      <c r="H37" s="62"/>
      <c r="I37" s="62"/>
    </row>
    <row r="38" spans="1:9" s="67" customFormat="1" ht="29.25" customHeight="1">
      <c r="A38" s="537" t="s">
        <v>44</v>
      </c>
      <c r="B38" s="537"/>
      <c r="C38" s="537"/>
      <c r="D38" s="537"/>
      <c r="E38" s="537"/>
      <c r="F38" s="537"/>
      <c r="G38" s="537"/>
      <c r="H38" s="537"/>
      <c r="I38" s="537"/>
    </row>
    <row r="39" ht="26.25" customHeight="1"/>
    <row r="40" spans="1:9" ht="28.5">
      <c r="A40" s="105" t="s">
        <v>11</v>
      </c>
      <c r="B40" s="471" t="s">
        <v>45</v>
      </c>
      <c r="C40" s="484"/>
      <c r="D40" s="105" t="s">
        <v>163</v>
      </c>
      <c r="E40" s="105" t="s">
        <v>162</v>
      </c>
      <c r="F40" s="471" t="s">
        <v>46</v>
      </c>
      <c r="G40" s="484"/>
      <c r="H40" s="171"/>
      <c r="I40" s="171"/>
    </row>
    <row r="41" spans="1:9" s="171" customFormat="1" ht="15">
      <c r="A41" s="109" t="s">
        <v>47</v>
      </c>
      <c r="B41" s="473" t="s">
        <v>111</v>
      </c>
      <c r="C41" s="491"/>
      <c r="D41" s="110"/>
      <c r="E41" s="110"/>
      <c r="F41" s="496">
        <f>SUM(F42:L48)</f>
        <v>56463.1603</v>
      </c>
      <c r="G41" s="483"/>
      <c r="H41" s="114"/>
      <c r="I41" s="114"/>
    </row>
    <row r="42" spans="1:9" s="114" customFormat="1" ht="27.75" customHeight="1">
      <c r="A42" s="34" t="s">
        <v>16</v>
      </c>
      <c r="B42" s="462" t="s">
        <v>396</v>
      </c>
      <c r="C42" s="489"/>
      <c r="D42" s="118"/>
      <c r="E42" s="337" t="s">
        <v>397</v>
      </c>
      <c r="F42" s="525">
        <v>4375</v>
      </c>
      <c r="G42" s="526"/>
      <c r="H42" s="35"/>
      <c r="I42" s="35"/>
    </row>
    <row r="43" spans="1:7" ht="13.5" customHeight="1">
      <c r="A43" s="34" t="s">
        <v>18</v>
      </c>
      <c r="B43" s="462" t="s">
        <v>404</v>
      </c>
      <c r="C43" s="489"/>
      <c r="D43" s="337" t="s">
        <v>391</v>
      </c>
      <c r="E43" s="337">
        <v>16</v>
      </c>
      <c r="F43" s="497">
        <v>32000</v>
      </c>
      <c r="G43" s="497"/>
    </row>
    <row r="44" spans="1:7" ht="13.5" customHeight="1">
      <c r="A44" s="34" t="s">
        <v>20</v>
      </c>
      <c r="B44" s="462" t="s">
        <v>618</v>
      </c>
      <c r="C44" s="489"/>
      <c r="D44" s="118"/>
      <c r="E44" s="118"/>
      <c r="F44" s="525">
        <v>11000</v>
      </c>
      <c r="G44" s="526"/>
    </row>
    <row r="45" spans="1:7" ht="13.5" customHeight="1">
      <c r="A45" s="34" t="s">
        <v>22</v>
      </c>
      <c r="B45" s="449" t="s">
        <v>814</v>
      </c>
      <c r="C45" s="641"/>
      <c r="D45" s="118" t="s">
        <v>391</v>
      </c>
      <c r="E45" s="118">
        <v>3</v>
      </c>
      <c r="F45" s="521">
        <v>8400</v>
      </c>
      <c r="G45" s="522"/>
    </row>
    <row r="46" spans="1:7" ht="13.5" customHeight="1">
      <c r="A46" s="34" t="s">
        <v>24</v>
      </c>
      <c r="B46" s="462"/>
      <c r="C46" s="498"/>
      <c r="D46" s="403"/>
      <c r="E46" s="406"/>
      <c r="F46" s="482"/>
      <c r="G46" s="482"/>
    </row>
    <row r="47" spans="1:7" ht="13.5" customHeight="1">
      <c r="A47" s="34" t="s">
        <v>103</v>
      </c>
      <c r="B47" s="462"/>
      <c r="C47" s="498"/>
      <c r="D47" s="403"/>
      <c r="E47" s="406"/>
      <c r="F47" s="482"/>
      <c r="G47" s="482"/>
    </row>
    <row r="48" spans="1:7" s="67" customFormat="1" ht="15">
      <c r="A48" s="34" t="s">
        <v>104</v>
      </c>
      <c r="B48" s="148" t="s">
        <v>188</v>
      </c>
      <c r="C48" s="149"/>
      <c r="D48" s="118"/>
      <c r="E48" s="118"/>
      <c r="F48" s="495">
        <f>E26*1%</f>
        <v>688.1603</v>
      </c>
      <c r="G48" s="495"/>
    </row>
    <row r="49" spans="8:9" s="67" customFormat="1" ht="15">
      <c r="H49" s="35"/>
      <c r="I49" s="35"/>
    </row>
    <row r="50" spans="8:9" s="67" customFormat="1" ht="15">
      <c r="H50" s="35"/>
      <c r="I50" s="35"/>
    </row>
    <row r="51" spans="1:9" s="67" customFormat="1" ht="15">
      <c r="A51" s="67" t="s">
        <v>55</v>
      </c>
      <c r="C51" s="67" t="s">
        <v>49</v>
      </c>
      <c r="F51" s="67" t="s">
        <v>90</v>
      </c>
      <c r="H51" s="35"/>
      <c r="I51" s="35"/>
    </row>
    <row r="52" s="67" customFormat="1" ht="15">
      <c r="F52" s="126" t="s">
        <v>545</v>
      </c>
    </row>
    <row r="53" spans="1:7" ht="15">
      <c r="A53" s="67" t="s">
        <v>50</v>
      </c>
      <c r="B53" s="67"/>
      <c r="C53" s="67"/>
      <c r="D53" s="67"/>
      <c r="E53" s="67"/>
      <c r="F53" s="67"/>
      <c r="G53" s="67"/>
    </row>
    <row r="54" spans="1:7" ht="15">
      <c r="A54" s="67"/>
      <c r="B54" s="67"/>
      <c r="C54" s="128" t="s">
        <v>51</v>
      </c>
      <c r="D54" s="67"/>
      <c r="E54" s="128"/>
      <c r="F54" s="128"/>
      <c r="G54" s="128"/>
    </row>
    <row r="55" spans="1:7" ht="15">
      <c r="A55" s="67"/>
      <c r="B55" s="67"/>
      <c r="C55" s="67"/>
      <c r="D55" s="67"/>
      <c r="E55" s="67"/>
      <c r="F55" s="67"/>
      <c r="G55" s="67"/>
    </row>
  </sheetData>
  <sheetProtection/>
  <mergeCells count="26">
    <mergeCell ref="A12:I12"/>
    <mergeCell ref="A38:I38"/>
    <mergeCell ref="F40:G40"/>
    <mergeCell ref="B40:C40"/>
    <mergeCell ref="B46:C46"/>
    <mergeCell ref="F46:G46"/>
    <mergeCell ref="B45:C45"/>
    <mergeCell ref="F45:G45"/>
    <mergeCell ref="A1:I1"/>
    <mergeCell ref="A2:I2"/>
    <mergeCell ref="A3:K3"/>
    <mergeCell ref="A5:I5"/>
    <mergeCell ref="F42:G42"/>
    <mergeCell ref="A33:C33"/>
    <mergeCell ref="A10:I10"/>
    <mergeCell ref="A11:I11"/>
    <mergeCell ref="B41:C41"/>
    <mergeCell ref="B42:C42"/>
    <mergeCell ref="F48:G48"/>
    <mergeCell ref="B44:C44"/>
    <mergeCell ref="F44:G44"/>
    <mergeCell ref="F41:G41"/>
    <mergeCell ref="F43:G43"/>
    <mergeCell ref="B43:C43"/>
    <mergeCell ref="B47:C47"/>
    <mergeCell ref="F47:G47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8">
      <selection activeCell="F46" sqref="F46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7109375" style="1" customWidth="1"/>
    <col min="4" max="4" width="13.421875" style="1" customWidth="1"/>
    <col min="5" max="5" width="13.00390625" style="1" customWidth="1"/>
    <col min="6" max="6" width="11.57421875" style="1" customWidth="1"/>
    <col min="7" max="7" width="12.00390625" style="1" customWidth="1"/>
    <col min="8" max="8" width="12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590" t="s">
        <v>0</v>
      </c>
      <c r="B1" s="590"/>
      <c r="C1" s="590"/>
      <c r="D1" s="590"/>
      <c r="E1" s="590"/>
      <c r="F1" s="590"/>
      <c r="G1" s="590"/>
      <c r="H1" s="590"/>
      <c r="I1" s="590"/>
    </row>
    <row r="2" spans="1:9" ht="15">
      <c r="A2" s="590" t="s">
        <v>52</v>
      </c>
      <c r="B2" s="590"/>
      <c r="C2" s="590"/>
      <c r="D2" s="590"/>
      <c r="E2" s="590"/>
      <c r="F2" s="590"/>
      <c r="G2" s="590"/>
      <c r="H2" s="590"/>
      <c r="I2" s="590"/>
    </row>
    <row r="3" spans="1:9" ht="15">
      <c r="A3" s="590" t="s">
        <v>95</v>
      </c>
      <c r="B3" s="590"/>
      <c r="C3" s="590"/>
      <c r="D3" s="590"/>
      <c r="E3" s="590"/>
      <c r="F3" s="590"/>
      <c r="G3" s="590"/>
      <c r="H3" s="590"/>
      <c r="I3" s="590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591" t="s">
        <v>1</v>
      </c>
      <c r="B5" s="590"/>
      <c r="C5" s="590"/>
      <c r="D5" s="590"/>
      <c r="E5" s="590"/>
      <c r="F5" s="590"/>
      <c r="G5" s="590"/>
      <c r="H5" s="590"/>
      <c r="I5" s="590"/>
    </row>
    <row r="7" spans="1:6" s="3" customFormat="1" ht="15">
      <c r="A7" s="3" t="s">
        <v>2</v>
      </c>
      <c r="F7" s="4"/>
    </row>
    <row r="8" spans="1:6" s="3" customFormat="1" ht="15">
      <c r="A8" s="3" t="s">
        <v>3</v>
      </c>
      <c r="F8" s="4"/>
    </row>
    <row r="9" s="3" customFormat="1" ht="15">
      <c r="A9" s="3" t="s">
        <v>4</v>
      </c>
    </row>
    <row r="10" spans="1:6" s="3" customFormat="1" ht="15">
      <c r="A10" s="3" t="s">
        <v>5</v>
      </c>
      <c r="F10" s="4" t="s">
        <v>6</v>
      </c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574" t="s">
        <v>8</v>
      </c>
      <c r="B13" s="574"/>
      <c r="C13" s="574"/>
      <c r="D13" s="574"/>
      <c r="E13" s="574"/>
      <c r="F13" s="574"/>
      <c r="G13" s="574"/>
      <c r="H13" s="574"/>
      <c r="I13" s="574"/>
    </row>
    <row r="14" spans="1:9" s="3" customFormat="1" ht="15">
      <c r="A14" s="574" t="s">
        <v>9</v>
      </c>
      <c r="B14" s="574"/>
      <c r="C14" s="574"/>
      <c r="D14" s="574"/>
      <c r="E14" s="574"/>
      <c r="F14" s="574"/>
      <c r="G14" s="574"/>
      <c r="H14" s="574"/>
      <c r="I14" s="574"/>
    </row>
    <row r="15" spans="1:9" s="3" customFormat="1" ht="15">
      <c r="A15" s="574" t="s">
        <v>10</v>
      </c>
      <c r="B15" s="574"/>
      <c r="C15" s="574"/>
      <c r="D15" s="574"/>
      <c r="E15" s="574"/>
      <c r="F15" s="574"/>
      <c r="G15" s="574"/>
      <c r="H15" s="574"/>
      <c r="I15" s="574"/>
    </row>
    <row r="16" s="3" customFormat="1" ht="15"/>
    <row r="17" spans="1:7" s="14" customFormat="1" ht="52.5" customHeight="1">
      <c r="A17" s="5" t="s">
        <v>11</v>
      </c>
      <c r="B17" s="5" t="s">
        <v>12</v>
      </c>
      <c r="C17" s="5" t="s">
        <v>91</v>
      </c>
      <c r="D17" s="5" t="s">
        <v>112</v>
      </c>
      <c r="E17" s="5" t="s">
        <v>113</v>
      </c>
      <c r="F17" s="13" t="s">
        <v>114</v>
      </c>
      <c r="G17" s="5" t="s">
        <v>115</v>
      </c>
    </row>
    <row r="18" spans="1:9" s="3" customFormat="1" ht="30">
      <c r="A18" s="6" t="s">
        <v>14</v>
      </c>
      <c r="B18" s="7" t="s">
        <v>15</v>
      </c>
      <c r="C18" s="25">
        <v>6.75</v>
      </c>
      <c r="D18" s="8" t="e">
        <f>'Телевизионная 2а'!D17+'Пионерская 16'!D18+' Пионерская 1318 кв.1-50'!D18+'Багговута 12'!D18+'Пионерская 15'!D17+'Социалистическая 3'!D18+'Социалистическая 4'!D18+'Социалистическая 6'!D18+'Социалистическая 6 к.1'!D18+'Социалистическая 9'!D18+'Социалистическая 12'!D18+'Телевизионная 2'!D18+'Телевизионная 4'!D18+'Чичерина 7а'!D18+'Чичерина 8'!D18+#REF!+'Чичерина 16 к. 1'!D18+'пер.Чичерина 24'!D18+'пер. Чичерина 28'!D18+'Калинина 12'!D18+'Калинина 18'!D18+'Калинина 23'!D18+'Пионерская 9'!D18+'Высокая 4'!D18+'Пухова 15'!D18+#REF!+#REF!+'Пухова 17'!D18+'Калинина 4'!D18+'Пионерская 18'!D18+'Чичерина 12 к.1'!D18+'Телевизионная 6 к.1'!D18+#REF!+'Пионерская 2'!D18+'Телевизионная 2 к.1'!D18+'Чичерина 16'!D18+'Чичерина 22'!D18+#REF!+'Ленина 68,8'!D18+'Ленина 67'!D18+'Огарева 20'!D17+'Пролетарская 40'!D17+'Чижевского 4'!D18</f>
        <v>#REF!</v>
      </c>
      <c r="E18" s="8" t="e">
        <f>'Телевизионная 2а'!E17+'Пионерская 16'!E18+' Пионерская 1318 кв.1-50'!E18+'Багговута 12'!E18+'Пионерская 15'!E17+'Социалистическая 3'!E18+'Социалистическая 4'!E18+'Социалистическая 6'!E18+'Социалистическая 6 к.1'!E18+'Социалистическая 9'!E18+'Социалистическая 12'!E18+'Телевизионная 2'!E18+'Телевизионная 4'!E18+'Чичерина 7а'!E18+'Чичерина 8'!E18+#REF!+'Чичерина 16 к. 1'!E18+'пер.Чичерина 24'!E18+'пер. Чичерина 28'!E18+'Калинина 12'!E18+'Калинина 18'!E18+'Калинина 23'!E18+'Пионерская 9'!E18+'Высокая 4'!E18+'Пухова 15'!E18+#REF!+#REF!+'Пухова 17'!E18+'Калинина 4'!E18+'Пионерская 18'!E18+'Чичерина 12 к.1'!E18+'Телевизионная 6 к.1'!E18+#REF!+'Пионерская 2'!E18+'Телевизионная 2 к.1'!E18+'Чичерина 16'!E18+'Чичерина 22'!E18+#REF!+'Ленина 68,8'!E18+'Ленина 67'!E18+'Огарева 20'!E17+'Пролетарская 40'!E17+'Чижевского 4'!E18</f>
        <v>#REF!</v>
      </c>
      <c r="F18" s="8" t="e">
        <f>'Телевизионная 2а'!F17+'Пионерская 16'!F18+' Пионерская 1318 кв.1-50'!F18+'Багговута 12'!F18+'Пионерская 15'!F17+'Социалистическая 3'!F18+'Социалистическая 4'!F18+'Социалистическая 6'!F18+'Социалистическая 6 к.1'!F18+'Социалистическая 9'!F18+'Социалистическая 12'!F18+'Телевизионная 2'!F18+'Телевизионная 4'!F18+'Чичерина 7а'!F18+'Чичерина 8'!F18+#REF!+'Чичерина 16 к. 1'!F18+'пер.Чичерина 24'!F18+'пер. Чичерина 28'!F18+'Калинина 12'!F18+'Калинина 18'!F18+'Калинина 23'!F18+'Пионерская 9'!F18+'Высокая 4'!F18+'Пухова 15'!F18+#REF!+#REF!+'Пухова 17'!F18+'Калинина 4'!F18+'Пионерская 18'!F18+'Чичерина 12 к.1'!F18+'Телевизионная 6 к.1'!F18+#REF!+'Пионерская 2'!F18+'Телевизионная 2 к.1'!F18+'Чичерина 16'!F18+'Чичерина 22'!F18+#REF!+'Ленина 68,8'!F18+'Ленина 67'!F18+'Огарева 20'!F17+'Пролетарская 40'!F17+'Чижевского 4'!F18</f>
        <v>#REF!</v>
      </c>
      <c r="G18" s="8" t="e">
        <f>'Телевизионная 2а'!G17+'Пионерская 16'!G18+' Пионерская 1318 кв.1-50'!G18+'Багговута 12'!G18+'Пионерская 15'!G17+'Социалистическая 3'!G18+'Социалистическая 4'!G18+'Социалистическая 6'!G18+'Социалистическая 6 к.1'!G18+'Социалистическая 9'!G18+'Социалистическая 12'!G18+'Телевизионная 2'!G18+'Телевизионная 4'!G18+'Чичерина 7а'!G18+'Чичерина 8'!G18+#REF!+'Чичерина 16 к. 1'!G18+'пер.Чичерина 24'!G18+'пер. Чичерина 28'!G18+'Калинина 12'!G18+'Калинина 18'!G18+'Калинина 23'!G18+'Пионерская 9'!G18+'Высокая 4'!G18+'Пухова 15'!G18+#REF!+#REF!+'Пухова 17'!G18+'Калинина 4'!G18+'Пионерская 18'!G18+'Чичерина 12 к.1'!G18+'Телевизионная 6 к.1'!G18+#REF!+'Пионерская 2'!G18+'Телевизионная 2 к.1'!G18+'Чичерина 16'!G18+'Чичерина 22'!G18+#REF!+'Ленина 68,8'!G18+'Ленина 67'!G18+'Огарева 20'!G17+'Пролетарская 40'!G17+'Чижевского 4'!G18</f>
        <v>#REF!</v>
      </c>
      <c r="H18" s="28">
        <v>6.75</v>
      </c>
      <c r="I18" s="11"/>
    </row>
    <row r="19" spans="1:9" s="3" customFormat="1" ht="30">
      <c r="A19" s="6" t="s">
        <v>16</v>
      </c>
      <c r="B19" s="7" t="s">
        <v>17</v>
      </c>
      <c r="C19" s="25">
        <v>2.41</v>
      </c>
      <c r="D19" s="8" t="e">
        <f>'Телевизионная 2а'!D18+'Пионерская 16'!D19+' Пионерская 1318 кв.1-50'!D19+'Багговута 12'!D19+'Пионерская 15'!D18+'Социалистическая 3'!D19+'Социалистическая 4'!D19+'Социалистическая 6'!D19+'Социалистическая 6 к.1'!D19+'Социалистическая 9'!D19+'Социалистическая 12'!D19+'Телевизионная 2'!D19+'Телевизионная 4'!D19+'Чичерина 7а'!D19+'Чичерина 8'!D19+#REF!+'Чичерина 16 к. 1'!D19+'пер.Чичерина 24'!D19+'пер. Чичерина 28'!D19+'Калинина 12'!D19+'Калинина 18'!D19+'Калинина 23'!D19+'Пионерская 9'!D19+'Высокая 4'!D19+'Пухова 15'!D19+#REF!+#REF!+'Пухова 17'!D19+'Калинина 4'!D19+'Пионерская 18'!D19+'Чичерина 12 к.1'!D19+'Телевизионная 6 к.1'!D19+#REF!+'Пионерская 2'!D19+'Телевизионная 2 к.1'!D19+'Чичерина 16'!D19+'Чичерина 22'!D19+#REF!+'Ленина 68,8'!D19+'Ленина 67'!D19+'Огарева 20'!D18+'Пролетарская 40'!D18+'Чижевского 4'!D19</f>
        <v>#REF!</v>
      </c>
      <c r="E19" s="8" t="e">
        <f>'Телевизионная 2а'!E18+'Пионерская 16'!E19+' Пионерская 1318 кв.1-50'!E19+'Багговута 12'!E19+'Пионерская 15'!E18+'Социалистическая 3'!E19+'Социалистическая 4'!E19+'Социалистическая 6'!E19+'Социалистическая 6 к.1'!E19+'Социалистическая 9'!E19+'Социалистическая 12'!E19+'Телевизионная 2'!E19+'Телевизионная 4'!E19+'Чичерина 7а'!E19+'Чичерина 8'!E19+#REF!+'Чичерина 16 к. 1'!E19+'пер.Чичерина 24'!E19+'пер. Чичерина 28'!E19+'Калинина 12'!E19+'Калинина 18'!E19+'Калинина 23'!E19+'Пионерская 9'!E19+'Высокая 4'!E19+'Пухова 15'!E19+#REF!+#REF!+'Пухова 17'!E19+'Калинина 4'!E19+'Пионерская 18'!E19+'Чичерина 12 к.1'!E19+'Телевизионная 6 к.1'!E19+#REF!+'Пионерская 2'!E19+'Телевизионная 2 к.1'!E19+'Чичерина 16'!E19+'Чичерина 22'!E19+#REF!+'Ленина 68,8'!E19+'Ленина 67'!E19+'Огарева 20'!E18+'Пролетарская 40'!E18+'Чижевского 4'!E19</f>
        <v>#REF!</v>
      </c>
      <c r="F19" s="8" t="e">
        <f>'Телевизионная 2а'!F18+'Пионерская 16'!F19+' Пионерская 1318 кв.1-50'!F19+'Багговута 12'!F19+'Пионерская 15'!F18+'Социалистическая 3'!F19+'Социалистическая 4'!F19+'Социалистическая 6'!F19+'Социалистическая 6 к.1'!F19+'Социалистическая 9'!F19+'Социалистическая 12'!F19+'Телевизионная 2'!F19+'Телевизионная 4'!F19+'Чичерина 7а'!F19+'Чичерина 8'!F19+#REF!+'Чичерина 16 к. 1'!F19+'пер.Чичерина 24'!F19+'пер. Чичерина 28'!F19+'Калинина 12'!F19+'Калинина 18'!F19+'Калинина 23'!F19+'Пионерская 9'!F19+'Высокая 4'!F19+'Пухова 15'!F19+#REF!+#REF!+'Пухова 17'!F19+'Калинина 4'!F19+'Пионерская 18'!F19+'Чичерина 12 к.1'!F19+'Телевизионная 6 к.1'!F19+#REF!+'Пионерская 2'!F19+'Телевизионная 2 к.1'!F19+'Чичерина 16'!F19+'Чичерина 22'!F19+#REF!+'Ленина 68,8'!F19+'Ленина 67'!F19+'Огарева 20'!F18+'Пролетарская 40'!F18+'Чижевского 4'!F19</f>
        <v>#REF!</v>
      </c>
      <c r="G19" s="8" t="e">
        <f>'Телевизионная 2а'!G18+'Пионерская 16'!G19+' Пионерская 1318 кв.1-50'!G19+'Багговута 12'!G19+'Пионерская 15'!G18+'Социалистическая 3'!G19+'Социалистическая 4'!G19+'Социалистическая 6'!G19+'Социалистическая 6 к.1'!G19+'Социалистическая 9'!G19+'Социалистическая 12'!G19+'Телевизионная 2'!G19+'Телевизионная 4'!G19+'Чичерина 7а'!G19+'Чичерина 8'!G19+#REF!+'Чичерина 16 к. 1'!G19+'пер.Чичерина 24'!G19+'пер. Чичерина 28'!G19+'Калинина 12'!G19+'Калинина 18'!G19+'Калинина 23'!G19+'Пионерская 9'!G19+'Высокая 4'!G19+'Пухова 15'!G19+#REF!+#REF!+'Пухова 17'!G19+'Калинина 4'!G19+'Пионерская 18'!G19+'Чичерина 12 к.1'!G19+'Телевизионная 6 к.1'!G19+#REF!+'Пионерская 2'!G19+'Телевизионная 2 к.1'!G19+'Чичерина 16'!G19+'Чичерина 22'!G19+#REF!+'Ленина 68,8'!G19+'Ленина 67'!G19+'Огарева 20'!G18+'Пролетарская 40'!G18+'Чижевского 4'!G19</f>
        <v>#REF!</v>
      </c>
      <c r="H19" s="28">
        <v>2.41</v>
      </c>
      <c r="I19" s="11">
        <f>H19/H18</f>
        <v>0.35703703703703704</v>
      </c>
    </row>
    <row r="20" spans="1:9" s="3" customFormat="1" ht="45">
      <c r="A20" s="6" t="s">
        <v>18</v>
      </c>
      <c r="B20" s="7" t="s">
        <v>19</v>
      </c>
      <c r="C20" s="25">
        <v>1.2</v>
      </c>
      <c r="D20" s="8" t="e">
        <f>'Телевизионная 2а'!D19+'Пионерская 16'!D20+' Пионерская 1318 кв.1-50'!D20+'Багговута 12'!D20+'Пионерская 15'!D19+'Социалистическая 3'!D20+'Социалистическая 4'!D20+'Социалистическая 6'!D20+'Социалистическая 6 к.1'!D20+'Социалистическая 9'!D20+'Социалистическая 12'!D20+'Телевизионная 2'!D20+'Телевизионная 4'!D20+'Чичерина 7а'!D20+'Чичерина 8'!D20+#REF!+'Чичерина 16 к. 1'!D20+'пер.Чичерина 24'!D20+'пер. Чичерина 28'!D20+'Калинина 12'!D20+'Калинина 18'!D20+'Калинина 23'!D20+'Пионерская 9'!D20+'Высокая 4'!D20+'Пухова 15'!D20+#REF!+#REF!+'Пухова 17'!D20+'Калинина 4'!D20+'Пионерская 18'!D20+'Чичерина 12 к.1'!D20+'Телевизионная 6 к.1'!D20+#REF!+'Пионерская 2'!D20+'Телевизионная 2 к.1'!D20+'Чичерина 16'!D20+'Чичерина 22'!D20+#REF!+'Ленина 68,8'!D20+'Ленина 67'!D20+'Огарева 20'!D19+'Пролетарская 40'!D19+'Чижевского 4'!D20</f>
        <v>#REF!</v>
      </c>
      <c r="E20" s="8" t="e">
        <f>'Телевизионная 2а'!E19+'Пионерская 16'!E20+' Пионерская 1318 кв.1-50'!E20+'Багговута 12'!E20+'Пионерская 15'!E19+'Социалистическая 3'!E20+'Социалистическая 4'!E20+'Социалистическая 6'!E20+'Социалистическая 6 к.1'!E20+'Социалистическая 9'!E20+'Социалистическая 12'!E20+'Телевизионная 2'!E20+'Телевизионная 4'!E20+'Чичерина 7а'!E20+'Чичерина 8'!E20+#REF!+'Чичерина 16 к. 1'!E20+'пер.Чичерина 24'!E20+'пер. Чичерина 28'!E20+'Калинина 12'!E20+'Калинина 18'!E20+'Калинина 23'!E20+'Пионерская 9'!E20+'Высокая 4'!E20+'Пухова 15'!E20+#REF!+#REF!+'Пухова 17'!E20+'Калинина 4'!E20+'Пионерская 18'!E20+'Чичерина 12 к.1'!E20+'Телевизионная 6 к.1'!E20+#REF!+'Пионерская 2'!E20+'Телевизионная 2 к.1'!E20+'Чичерина 16'!E20+'Чичерина 22'!E20+#REF!+'Ленина 68,8'!E20+'Ленина 67'!E20+'Огарева 20'!E19+'Пролетарская 40'!E19+'Чижевского 4'!E20</f>
        <v>#REF!</v>
      </c>
      <c r="F20" s="8" t="e">
        <f>'Телевизионная 2а'!F19+'Пионерская 16'!F20+' Пионерская 1318 кв.1-50'!F20+'Багговута 12'!F20+'Пионерская 15'!F19+'Социалистическая 3'!F20+'Социалистическая 4'!F20+'Социалистическая 6'!F20+'Социалистическая 6 к.1'!F20+'Социалистическая 9'!F20+'Социалистическая 12'!F20+'Телевизионная 2'!F20+'Телевизионная 4'!F20+'Чичерина 7а'!F20+'Чичерина 8'!F20+#REF!+'Чичерина 16 к. 1'!F20+'пер.Чичерина 24'!F20+'пер. Чичерина 28'!F20+'Калинина 12'!F20+'Калинина 18'!F20+'Калинина 23'!F20+'Пионерская 9'!F20+'Высокая 4'!F20+'Пухова 15'!F20+#REF!+#REF!+'Пухова 17'!F20+'Калинина 4'!F20+'Пионерская 18'!F20+'Чичерина 12 к.1'!F20+'Телевизионная 6 к.1'!F20+#REF!+'Пионерская 2'!F20+'Телевизионная 2 к.1'!F20+'Чичерина 16'!F20+'Чичерина 22'!F20+#REF!+'Ленина 68,8'!F20+'Ленина 67'!F20+'Огарева 20'!F19+'Пролетарская 40'!F19+'Чижевского 4'!F20</f>
        <v>#REF!</v>
      </c>
      <c r="G20" s="8" t="e">
        <f>'Телевизионная 2а'!G19+'Пионерская 16'!G20+' Пионерская 1318 кв.1-50'!G20+'Багговута 12'!G20+'Пионерская 15'!G19+'Социалистическая 3'!G20+'Социалистическая 4'!G20+'Социалистическая 6'!G20+'Социалистическая 6 к.1'!G20+'Социалистическая 9'!G20+'Социалистическая 12'!G20+'Телевизионная 2'!G20+'Телевизионная 4'!G20+'Чичерина 7а'!G20+'Чичерина 8'!G20+#REF!+'Чичерина 16 к. 1'!G20+'пер.Чичерина 24'!G20+'пер. Чичерина 28'!G20+'Калинина 12'!G20+'Калинина 18'!G20+'Калинина 23'!G20+'Пионерская 9'!G20+'Высокая 4'!G20+'Пухова 15'!G20+#REF!+#REF!+'Пухова 17'!G20+'Калинина 4'!G20+'Пионерская 18'!G20+'Чичерина 12 к.1'!G20+'Телевизионная 6 к.1'!G20+#REF!+'Пионерская 2'!G20+'Телевизионная 2 к.1'!G20+'Чичерина 16'!G20+'Чичерина 22'!G20+#REF!+'Ленина 68,8'!G20+'Ленина 67'!G20+'Огарева 20'!G19+'Пролетарская 40'!G19+'Чижевского 4'!G20</f>
        <v>#REF!</v>
      </c>
      <c r="H20" s="28">
        <v>1.2</v>
      </c>
      <c r="I20" s="11">
        <f>H20/H18</f>
        <v>0.17777777777777778</v>
      </c>
    </row>
    <row r="21" spans="1:9" s="3" customFormat="1" ht="30">
      <c r="A21" s="6" t="s">
        <v>20</v>
      </c>
      <c r="B21" s="7" t="s">
        <v>21</v>
      </c>
      <c r="C21" s="25">
        <v>1.51</v>
      </c>
      <c r="D21" s="8" t="e">
        <f>'Телевизионная 2а'!D20+'Пионерская 16'!D21+' Пионерская 1318 кв.1-50'!D21+'Багговута 12'!D21+'Пионерская 15'!D20+'Социалистическая 3'!D21+'Социалистическая 4'!D21+'Социалистическая 6'!D21+'Социалистическая 6 к.1'!D21+'Социалистическая 9'!D21+'Социалистическая 12'!D21+'Телевизионная 2'!D21+'Телевизионная 4'!D21+'Чичерина 7а'!D21+'Чичерина 8'!D21+#REF!+'Чичерина 16 к. 1'!D21+'пер.Чичерина 24'!D21+'пер. Чичерина 28'!D21+'Калинина 12'!D21+'Калинина 18'!D21+'Калинина 23'!D21+'Пионерская 9'!D21+'Высокая 4'!D21+'Пухова 15'!D21+#REF!+#REF!+'Пухова 17'!D21+'Калинина 4'!D21+'Пионерская 18'!D21+'Чичерина 12 к.1'!D21+'Телевизионная 6 к.1'!D21+#REF!+'Пионерская 2'!D21+'Телевизионная 2 к.1'!D21+'Чичерина 16'!D21+'Чичерина 22'!D21+#REF!+'Ленина 68,8'!D21+'Ленина 67'!D21+'Огарева 20'!D20+'Пролетарская 40'!D20+'Чижевского 4'!D21</f>
        <v>#REF!</v>
      </c>
      <c r="E21" s="8" t="e">
        <f>'Телевизионная 2а'!E20+'Пионерская 16'!E21+' Пионерская 1318 кв.1-50'!E21+'Багговута 12'!E21+'Пионерская 15'!E20+'Социалистическая 3'!E21+'Социалистическая 4'!E21+'Социалистическая 6'!E21+'Социалистическая 6 к.1'!E21+'Социалистическая 9'!E21+'Социалистическая 12'!E21+'Телевизионная 2'!E21+'Телевизионная 4'!E21+'Чичерина 7а'!E21+'Чичерина 8'!E21+#REF!+'Чичерина 16 к. 1'!E21+'пер.Чичерина 24'!E21+'пер. Чичерина 28'!E21+'Калинина 12'!E21+'Калинина 18'!E21+'Калинина 23'!E21+'Пионерская 9'!E21+'Высокая 4'!E21+'Пухова 15'!E21+#REF!+#REF!+'Пухова 17'!E21+'Калинина 4'!E21+'Пионерская 18'!E21+'Чичерина 12 к.1'!E21+'Телевизионная 6 к.1'!E21+#REF!+'Пионерская 2'!E21+'Телевизионная 2 к.1'!E21+'Чичерина 16'!E21+'Чичерина 22'!E21+#REF!+'Ленина 68,8'!E21+'Ленина 67'!E21+'Огарева 20'!E20+'Пролетарская 40'!E20+'Чижевского 4'!E21</f>
        <v>#REF!</v>
      </c>
      <c r="F21" s="8" t="e">
        <f>'Телевизионная 2а'!F20+'Пионерская 16'!F21+' Пионерская 1318 кв.1-50'!F21+'Багговута 12'!F21+'Пионерская 15'!F20+'Социалистическая 3'!F21+'Социалистическая 4'!F21+'Социалистическая 6'!F21+'Социалистическая 6 к.1'!F21+'Социалистическая 9'!F21+'Социалистическая 12'!F21+'Телевизионная 2'!F21+'Телевизионная 4'!F21+'Чичерина 7а'!F21+'Чичерина 8'!F21+#REF!+'Чичерина 16 к. 1'!F21+'пер.Чичерина 24'!F21+'пер. Чичерина 28'!F21+'Калинина 12'!F21+'Калинина 18'!F21+'Калинина 23'!F21+'Пионерская 9'!F21+'Высокая 4'!F21+'Пухова 15'!F21+#REF!+#REF!+'Пухова 17'!F21+'Калинина 4'!F21+'Пионерская 18'!F21+'Чичерина 12 к.1'!F21+'Телевизионная 6 к.1'!F21+#REF!+'Пионерская 2'!F21+'Телевизионная 2 к.1'!F21+'Чичерина 16'!F21+'Чичерина 22'!F21+#REF!+'Ленина 68,8'!F21+'Ленина 67'!F21+'Огарева 20'!F20+'Пролетарская 40'!F20+'Чижевского 4'!F21</f>
        <v>#REF!</v>
      </c>
      <c r="G21" s="8" t="e">
        <f>'Телевизионная 2а'!G20+'Пионерская 16'!G21+' Пионерская 1318 кв.1-50'!G21+'Багговута 12'!G21+'Пионерская 15'!G20+'Социалистическая 3'!G21+'Социалистическая 4'!G21+'Социалистическая 6'!G21+'Социалистическая 6 к.1'!G21+'Социалистическая 9'!G21+'Социалистическая 12'!G21+'Телевизионная 2'!G21+'Телевизионная 4'!G21+'Чичерина 7а'!G21+'Чичерина 8'!G21+#REF!+'Чичерина 16 к. 1'!G21+'пер.Чичерина 24'!G21+'пер. Чичерина 28'!G21+'Калинина 12'!G21+'Калинина 18'!G21+'Калинина 23'!G21+'Пионерская 9'!G21+'Высокая 4'!G21+'Пухова 15'!G21+#REF!+#REF!+'Пухова 17'!G21+'Калинина 4'!G21+'Пионерская 18'!G21+'Чичерина 12 к.1'!G21+'Телевизионная 6 к.1'!G21+#REF!+'Пионерская 2'!G21+'Телевизионная 2 к.1'!G21+'Чичерина 16'!G21+'Чичерина 22'!G21+#REF!+'Ленина 68,8'!G21+'Ленина 67'!G21+'Огарева 20'!G20+'Пролетарская 40'!G20+'Чижевского 4'!G21</f>
        <v>#REF!</v>
      </c>
      <c r="H21" s="28">
        <v>1.51</v>
      </c>
      <c r="I21" s="11">
        <f>H21/H18</f>
        <v>0.2237037037037037</v>
      </c>
    </row>
    <row r="22" spans="1:9" s="3" customFormat="1" ht="30">
      <c r="A22" s="6" t="s">
        <v>22</v>
      </c>
      <c r="B22" s="7" t="s">
        <v>23</v>
      </c>
      <c r="C22" s="25">
        <v>1.63</v>
      </c>
      <c r="D22" s="8" t="e">
        <f>'Телевизионная 2а'!D21+'Пионерская 16'!D22+' Пионерская 1318 кв.1-50'!D22+'Багговута 12'!D22+'Пионерская 15'!D21+'Социалистическая 3'!D22+'Социалистическая 4'!D22+'Социалистическая 6'!D22+'Социалистическая 6 к.1'!D22+'Социалистическая 9'!D22+'Социалистическая 12'!D22+'Телевизионная 2'!D22+'Телевизионная 4'!D22+'Чичерина 7а'!D22+'Чичерина 8'!D22+#REF!+'Чичерина 16 к. 1'!D22+'пер.Чичерина 24'!D22+'пер. Чичерина 28'!D22+'Калинина 12'!D22+'Калинина 18'!D22+'Калинина 23'!D22+'Пионерская 9'!D22+'Высокая 4'!D22+'Пухова 15'!D22+#REF!+#REF!+'Пухова 17'!D22+'Калинина 4'!D22+'Пионерская 18'!D22+'Чичерина 12 к.1'!D22+'Телевизионная 6 к.1'!D22+#REF!+'Пионерская 2'!D22+'Телевизионная 2 к.1'!D22+'Чичерина 16'!D22+'Чичерина 22'!D22+#REF!+'Ленина 68,8'!D22+'Ленина 67'!D22+'Огарева 20'!D21+'Пролетарская 40'!D21+'Чижевского 4'!D22</f>
        <v>#REF!</v>
      </c>
      <c r="E22" s="8" t="e">
        <f>'Телевизионная 2а'!E21+'Пионерская 16'!E22+' Пионерская 1318 кв.1-50'!E22+'Багговута 12'!E22+'Пионерская 15'!E21+'Социалистическая 3'!E22+'Социалистическая 4'!E22+'Социалистическая 6'!E22+'Социалистическая 6 к.1'!E22+'Социалистическая 9'!E22+'Социалистическая 12'!E22+'Телевизионная 2'!E22+'Телевизионная 4'!E22+'Чичерина 7а'!E22+'Чичерина 8'!E22+#REF!+'Чичерина 16 к. 1'!E22+'пер.Чичерина 24'!E22+'пер. Чичерина 28'!E22+'Калинина 12'!E22+'Калинина 18'!E22+'Калинина 23'!E22+'Пионерская 9'!E22+'Высокая 4'!E22+'Пухова 15'!E22+#REF!+#REF!+'Пухова 17'!E22+'Калинина 4'!E22+'Пионерская 18'!E22+'Чичерина 12 к.1'!E22+'Телевизионная 6 к.1'!E22+#REF!+'Пионерская 2'!E22+'Телевизионная 2 к.1'!E22+'Чичерина 16'!E22+'Чичерина 22'!E22+#REF!+'Ленина 68,8'!E22+'Ленина 67'!E22+'Огарева 20'!E21+'Пролетарская 40'!E21+'Чижевского 4'!E22</f>
        <v>#REF!</v>
      </c>
      <c r="F22" s="8" t="e">
        <f>'Телевизионная 2а'!F21+'Пионерская 16'!F22+' Пионерская 1318 кв.1-50'!F22+'Багговута 12'!F22+'Пионерская 15'!F21+'Социалистическая 3'!F22+'Социалистическая 4'!F22+'Социалистическая 6'!F22+'Социалистическая 6 к.1'!F22+'Социалистическая 9'!F22+'Социалистическая 12'!F22+'Телевизионная 2'!F22+'Телевизионная 4'!F22+'Чичерина 7а'!F22+'Чичерина 8'!F22+#REF!+'Чичерина 16 к. 1'!F22+'пер.Чичерина 24'!F22+'пер. Чичерина 28'!F22+'Калинина 12'!F22+'Калинина 18'!F22+'Калинина 23'!F22+'Пионерская 9'!F22+'Высокая 4'!F22+'Пухова 15'!F22+#REF!+#REF!+'Пухова 17'!F22+'Калинина 4'!F22+'Пионерская 18'!F22+'Чичерина 12 к.1'!F22+'Телевизионная 6 к.1'!F22+#REF!+'Пионерская 2'!F22+'Телевизионная 2 к.1'!F22+'Чичерина 16'!F22+'Чичерина 22'!F22+#REF!+'Ленина 68,8'!F22+'Ленина 67'!F22+'Огарева 20'!F21+'Пролетарская 40'!F21+'Чижевского 4'!F22</f>
        <v>#REF!</v>
      </c>
      <c r="G22" s="8" t="e">
        <f>'Телевизионная 2а'!G21+'Пионерская 16'!G22+' Пионерская 1318 кв.1-50'!G22+'Багговута 12'!G22+'Пионерская 15'!G21+'Социалистическая 3'!G22+'Социалистическая 4'!G22+'Социалистическая 6'!G22+'Социалистическая 6 к.1'!G22+'Социалистическая 9'!G22+'Социалистическая 12'!G22+'Телевизионная 2'!G22+'Телевизионная 4'!G22+'Чичерина 7а'!G22+'Чичерина 8'!G22+#REF!+'Чичерина 16 к. 1'!G22+'пер.Чичерина 24'!G22+'пер. Чичерина 28'!G22+'Калинина 12'!G22+'Калинина 18'!G22+'Калинина 23'!G22+'Пионерская 9'!G22+'Высокая 4'!G22+'Пухова 15'!G22+#REF!+#REF!+'Пухова 17'!G22+'Калинина 4'!G22+'Пионерская 18'!G22+'Чичерина 12 к.1'!G22+'Телевизионная 6 к.1'!G22+#REF!+'Пионерская 2'!G22+'Телевизионная 2 к.1'!G22+'Чичерина 16'!G22+'Чичерина 22'!G22+#REF!+'Ленина 68,8'!G22+'Ленина 67'!G22+'Огарева 20'!G21+'Пролетарская 40'!G21+'Чижевского 4'!G22</f>
        <v>#REF!</v>
      </c>
      <c r="H22" s="28">
        <v>1.63</v>
      </c>
      <c r="I22" s="11">
        <f>H22/H18</f>
        <v>0.24148148148148146</v>
      </c>
    </row>
    <row r="23" spans="1:7" ht="15">
      <c r="A23" s="7" t="s">
        <v>25</v>
      </c>
      <c r="B23" s="7" t="s">
        <v>26</v>
      </c>
      <c r="C23" s="25">
        <v>3.15</v>
      </c>
      <c r="D23" s="8" t="e">
        <f>'Телевизионная 2а'!D23+'Пионерская 16'!#REF!+' Пионерская 1318 кв.1-50'!#REF!+'Багговута 12'!D24+'Пионерская 15'!D22+'Социалистическая 3'!D23+'Социалистическая 4'!D23+'Социалистическая 6'!D23+'Социалистическая 6 к.1'!D23+'Социалистическая 9'!D23+'Социалистическая 12'!D23+'Телевизионная 2'!D23+'Телевизионная 4'!D23+'Чичерина 7а'!D23+'Чичерина 8'!D23+#REF!+'Чичерина 16 к. 1'!D23+'пер.Чичерина 24'!D23+'пер. Чичерина 28'!D23+'Калинина 12'!D24+'Калинина 18'!D23+'Калинина 23'!D23+'Пионерская 9'!D24+'Высокая 4'!D23+'Пухова 15'!D24+#REF!+#REF!+'Пухова 17'!D23+'Калинина 4'!#REF!+'Пионерская 18'!D24+'Чичерина 12 к.1'!D23+'Телевизионная 6 к.1'!D23+#REF!+'Пионерская 2'!D23+'Телевизионная 2 к.1'!D23+'Чичерина 16'!D23+'Чичерина 22'!D23+#REF!+'Ленина 68,8'!D23+'Ленина 67'!D23+'Огарева 20'!D23+'Пролетарская 40'!D22+'Чижевского 4'!D23</f>
        <v>#REF!</v>
      </c>
      <c r="E23" s="8" t="e">
        <f>'Телевизионная 2а'!E23+'Пионерская 16'!#REF!+' Пионерская 1318 кв.1-50'!#REF!+'Багговута 12'!E24+'Пионерская 15'!E22+'Социалистическая 3'!E23+'Социалистическая 4'!E23+'Социалистическая 6'!E23+'Социалистическая 6 к.1'!E23+'Социалистическая 9'!E23+'Социалистическая 12'!E23+'Телевизионная 2'!E23+'Телевизионная 4'!E23+'Чичерина 7а'!E23+'Чичерина 8'!E23+#REF!+'Чичерина 16 к. 1'!E23+'пер.Чичерина 24'!E23+'пер. Чичерина 28'!E23+'Калинина 12'!E24+'Калинина 18'!E23+'Калинина 23'!E23+'Пионерская 9'!E24+'Высокая 4'!E23+'Пухова 15'!E24+#REF!+#REF!+'Пухова 17'!E23+'Калинина 4'!#REF!+'Пионерская 18'!E24+'Чичерина 12 к.1'!E23+'Телевизионная 6 к.1'!E23+#REF!+'Пионерская 2'!E23+'Телевизионная 2 к.1'!E23+'Чичерина 16'!E23+'Чичерина 22'!E23+#REF!+'Ленина 68,8'!E23+'Ленина 67'!E23+'Огарева 20'!E23+'Пролетарская 40'!E22+'Чижевского 4'!E23</f>
        <v>#REF!</v>
      </c>
      <c r="F23" s="8" t="e">
        <f>'Телевизионная 2а'!F23+'Пионерская 16'!#REF!+' Пионерская 1318 кв.1-50'!#REF!+'Багговута 12'!F24+'Пионерская 15'!F22+'Социалистическая 3'!F23+'Социалистическая 4'!F23+'Социалистическая 6'!F23+'Социалистическая 6 к.1'!F23+'Социалистическая 9'!F23+'Социалистическая 12'!F23+'Телевизионная 2'!F23+'Телевизионная 4'!F23+'Чичерина 7а'!F23+'Чичерина 8'!F23+#REF!+'Чичерина 16 к. 1'!F23+'пер.Чичерина 24'!F23+'пер. Чичерина 28'!F23+'Калинина 12'!F24+'Калинина 18'!F23+'Калинина 23'!F23+'Пионерская 9'!F24+'Высокая 4'!F23+'Пухова 15'!F24+#REF!+#REF!+'Пухова 17'!F23+'Калинина 4'!#REF!+'Пионерская 18'!F24+'Чичерина 12 к.1'!F23+'Телевизионная 6 к.1'!F23+#REF!+'Пионерская 2'!F23+'Телевизионная 2 к.1'!F23+'Чичерина 16'!F23+'Чичерина 22'!F23+#REF!+'Ленина 68,8'!F23+'Ленина 67'!F23+'Огарева 20'!F23+'Пролетарская 40'!F22+'Чижевского 4'!F23</f>
        <v>#REF!</v>
      </c>
      <c r="G23" s="8" t="e">
        <f>'Телевизионная 2а'!G23+'Пионерская 16'!#REF!+' Пионерская 1318 кв.1-50'!#REF!+'Багговута 12'!G24+'Пионерская 15'!G22+'Социалистическая 3'!G23+'Социалистическая 4'!G23+'Социалистическая 6'!G23+'Социалистическая 6 к.1'!G23+'Социалистическая 9'!G23+'Социалистическая 12'!G23+'Телевизионная 2'!G23+'Телевизионная 4'!G23+'Чичерина 7а'!G23+'Чичерина 8'!G23+#REF!+'Чичерина 16 к. 1'!G23+'пер.Чичерина 24'!G23+'пер. Чичерина 28'!G23+'Калинина 12'!G24+'Калинина 18'!G23+'Калинина 23'!G23+'Пионерская 9'!G24+'Высокая 4'!G23+'Пухова 15'!G24+#REF!+#REF!+'Пухова 17'!G23+'Калинина 4'!#REF!+'Пионерская 18'!G24+'Чичерина 12 к.1'!G23+'Телевизионная 6 к.1'!G23+#REF!+'Пионерская 2'!G23+'Телевизионная 2 к.1'!G23+'Чичерина 16'!G23+'Чичерина 22'!G23+#REF!+'Ленина 68,8'!G23+'Ленина 67'!G23+'Огарева 20'!G23+'Пролетарская 40'!G22+'Чижевского 4'!G23</f>
        <v>#REF!</v>
      </c>
    </row>
    <row r="24" spans="1:7" ht="15">
      <c r="A24" s="7" t="s">
        <v>27</v>
      </c>
      <c r="B24" s="7" t="s">
        <v>28</v>
      </c>
      <c r="C24" s="12">
        <v>2.6</v>
      </c>
      <c r="D24" s="8" t="e">
        <f>'Телевизионная 2а'!D24+'Пионерская 16'!#REF!+' Пионерская 1318 кв.1-50'!D24+'Багговута 12'!D25+'Пионерская 15'!D23+'Социалистическая 3'!D24+'Социалистическая 4'!D24+'Социалистическая 6'!D24+'Социалистическая 6 к.1'!D24+'Социалистическая 9'!D24+'Социалистическая 12'!D24+'Телевизионная 2'!D24+'Телевизионная 4'!D24+'Чичерина 7а'!D24+'Чичерина 8'!D24+#REF!+'Чичерина 16 к. 1'!D24+'пер.Чичерина 24'!D24+'пер. Чичерина 28'!D24+'Калинина 12'!D25+'Калинина 18'!D24+'Калинина 23'!D24+'Пионерская 9'!D25+'Высокая 4'!D24+'Пухова 15'!D25+#REF!+#REF!+'Пухова 17'!D24+'Калинина 4'!D23+'Пионерская 18'!D25+'Чичерина 12 к.1'!D24+'Телевизионная 6 к.1'!D24+#REF!+'Пионерская 2'!D24+'Телевизионная 2 к.1'!D24+'Чичерина 16'!D24+'Чичерина 22'!D24+#REF!+'Ленина 68,8'!D24+'Ленина 67'!D24+'Огарева 20'!D24+'Пролетарская 40'!D23+'Чижевского 4'!D24</f>
        <v>#REF!</v>
      </c>
      <c r="E24" s="8" t="e">
        <f>'Телевизионная 2а'!E24+'Пионерская 16'!#REF!+' Пионерская 1318 кв.1-50'!E24+'Багговута 12'!E25+'Пионерская 15'!E23+'Социалистическая 3'!E24+'Социалистическая 4'!E24+'Социалистическая 6'!E24+'Социалистическая 6 к.1'!E24+'Социалистическая 9'!E24+'Социалистическая 12'!E24+'Телевизионная 2'!E24+'Телевизионная 4'!E24+'Чичерина 7а'!E24+'Чичерина 8'!E24+#REF!+'Чичерина 16 к. 1'!E24+'пер.Чичерина 24'!E24+'пер. Чичерина 28'!E24+'Калинина 12'!E25+'Калинина 18'!E24+'Калинина 23'!E24+'Пионерская 9'!E25+'Высокая 4'!E24+'Пухова 15'!E25+#REF!+#REF!+'Пухова 17'!E24+'Калинина 4'!E23+'Пионерская 18'!E25+'Чичерина 12 к.1'!E24+'Телевизионная 6 к.1'!E24+#REF!+'Пионерская 2'!E24+'Телевизионная 2 к.1'!E24+'Чичерина 16'!E24+'Чичерина 22'!E24+#REF!+'Ленина 68,8'!E24+'Ленина 67'!E24+'Огарева 20'!E24+'Пролетарская 40'!E23+'Чижевского 4'!E24</f>
        <v>#REF!</v>
      </c>
      <c r="F24" s="8" t="e">
        <f>'Телевизионная 2а'!F24+'Пионерская 16'!#REF!+' Пионерская 1318 кв.1-50'!F24+'Багговута 12'!F25+'Пионерская 15'!F23+'Социалистическая 3'!F24+'Социалистическая 4'!F24+'Социалистическая 6'!F24+'Социалистическая 6 к.1'!F24+'Социалистическая 9'!F24+'Социалистическая 12'!F24+'Телевизионная 2'!F24+'Телевизионная 4'!F24+'Чичерина 7а'!F24+'Чичерина 8'!F24+#REF!+'Чичерина 16 к. 1'!F24+'пер.Чичерина 24'!F24+'пер. Чичерина 28'!F24+'Калинина 12'!F25+'Калинина 18'!F24+'Калинина 23'!F24+'Пионерская 9'!F25+'Высокая 4'!F24+'Пухова 15'!F25+#REF!+#REF!+'Пухова 17'!F24+'Калинина 4'!F23+'Пионерская 18'!F25+'Чичерина 12 к.1'!F24+'Телевизионная 6 к.1'!F24+#REF!+'Пионерская 2'!F24+'Телевизионная 2 к.1'!F24+'Чичерина 16'!F24+'Чичерина 22'!F24+#REF!+'Ленина 68,8'!F24+'Ленина 67'!F24+'Огарева 20'!F24+'Пролетарская 40'!F23+'Чижевского 4'!F24</f>
        <v>#REF!</v>
      </c>
      <c r="G24" s="8" t="e">
        <f>'Телевизионная 2а'!G24+'Пионерская 16'!#REF!+' Пионерская 1318 кв.1-50'!G24+'Багговута 12'!G25+'Пионерская 15'!G23+'Социалистическая 3'!G24+'Социалистическая 4'!G24+'Социалистическая 6'!G24+'Социалистическая 6 к.1'!G24+'Социалистическая 9'!G24+'Социалистическая 12'!G24+'Телевизионная 2'!G24+'Телевизионная 4'!G24+'Чичерина 7а'!G24+'Чичерина 8'!G24+#REF!+'Чичерина 16 к. 1'!G24+'пер.Чичерина 24'!G24+'пер. Чичерина 28'!G24+'Калинина 12'!G25+'Калинина 18'!G24+'Калинина 23'!G24+'Пионерская 9'!G25+'Высокая 4'!G24+'Пухова 15'!G25+#REF!+#REF!+'Пухова 17'!G24+'Калинина 4'!G23+'Пионерская 18'!G25+'Чичерина 12 к.1'!G24+'Телевизионная 6 к.1'!G24+#REF!+'Пионерская 2'!G24+'Телевизионная 2 к.1'!G24+'Чичерина 16'!G24+'Чичерина 22'!G24+#REF!+'Ленина 68,8'!G24+'Ленина 67'!G24+'Огарева 20'!G24+'Пролетарская 40'!G23+'Чижевского 4'!G24</f>
        <v>#REF!</v>
      </c>
    </row>
    <row r="25" spans="1:7" ht="30">
      <c r="A25" s="7" t="s">
        <v>29</v>
      </c>
      <c r="B25" s="7" t="s">
        <v>30</v>
      </c>
      <c r="C25" s="25">
        <v>0.81</v>
      </c>
      <c r="D25" s="8" t="e">
        <f>'Телевизионная 2а'!D25+'Пионерская 16'!D24+' Пионерская 1318 кв.1-50'!D25+'Багговута 12'!D26+'Пионерская 15'!D24+'Социалистическая 3'!D25+'Социалистическая 4'!D25+'Социалистическая 6'!D25+'Социалистическая 6 к.1'!D25+'Социалистическая 9'!D25+'Социалистическая 12'!D25+'Телевизионная 2'!D25+'Телевизионная 4'!D25+'Чичерина 7а'!D25+'Чичерина 8'!D25+#REF!+'Чичерина 16 к. 1'!D25+'пер.Чичерина 24'!#REF!+'пер. Чичерина 28'!D25+'Калинина 12'!D26+'Калинина 18'!D25+'Калинина 23'!D25+'Пионерская 9'!D26+'Высокая 4'!D25+'Пухова 15'!D26+#REF!+#REF!+'Пухова 17'!D25+'Калинина 4'!D24+'Пионерская 18'!D26+'Чичерина 12 к.1'!D25+'Телевизионная 6 к.1'!D25+#REF!+'Пионерская 2'!D25+'Телевизионная 2 к.1'!D25+'Чичерина 16'!D25+'Чичерина 22'!D25+#REF!+'Ленина 68,8'!D25+'Ленина 67'!D25+'Огарева 20'!D25+'Пролетарская 40'!D24+'Чижевского 4'!D25</f>
        <v>#REF!</v>
      </c>
      <c r="E25" s="8" t="e">
        <f>'Телевизионная 2а'!E25+'Пионерская 16'!E24+' Пионерская 1318 кв.1-50'!E25+'Багговута 12'!E26+'Пионерская 15'!E24+'Социалистическая 3'!E25+'Социалистическая 4'!E25+'Социалистическая 6'!E25+'Социалистическая 6 к.1'!E25+'Социалистическая 9'!E25+'Социалистическая 12'!E25+'Телевизионная 2'!E25+'Телевизионная 4'!E25+'Чичерина 7а'!E25+'Чичерина 8'!E25+#REF!+'Чичерина 16 к. 1'!E25+'пер.Чичерина 24'!#REF!+'пер. Чичерина 28'!E25+'Калинина 12'!E26+'Калинина 18'!E25+'Калинина 23'!E25+'Пионерская 9'!E26+'Высокая 4'!E25+'Пухова 15'!E26+#REF!+#REF!+'Пухова 17'!E25+'Калинина 4'!E24+'Пионерская 18'!E26+'Чичерина 12 к.1'!E25+'Телевизионная 6 к.1'!E25+#REF!+'Пионерская 2'!E25+'Телевизионная 2 к.1'!E25+'Чичерина 16'!E25+'Чичерина 22'!E25+#REF!+'Ленина 68,8'!E25+'Ленина 67'!E25+'Огарева 20'!E25+'Пролетарская 40'!E24+'Чижевского 4'!E25</f>
        <v>#REF!</v>
      </c>
      <c r="F25" s="8" t="e">
        <f>'Телевизионная 2а'!F25+'Пионерская 16'!F24+' Пионерская 1318 кв.1-50'!F25+'Багговута 12'!F26+'Пионерская 15'!F24+'Социалистическая 3'!F25+'Социалистическая 4'!F25+'Социалистическая 6'!F25+'Социалистическая 6 к.1'!F25+'Социалистическая 9'!F25+'Социалистическая 12'!F25+'Телевизионная 2'!F25+'Телевизионная 4'!F25+'Чичерина 7а'!F25+'Чичерина 8'!F25+#REF!+'Чичерина 16 к. 1'!F25+'пер.Чичерина 24'!#REF!+'пер. Чичерина 28'!F25+'Калинина 12'!F26+'Калинина 18'!F25+'Калинина 23'!F25+'Пионерская 9'!F26+'Высокая 4'!F25+'Пухова 15'!F26+#REF!+#REF!+'Пухова 17'!F25+'Калинина 4'!F24+'Пионерская 18'!F26+'Чичерина 12 к.1'!F25+'Телевизионная 6 к.1'!F25+#REF!+'Пионерская 2'!F25+'Телевизионная 2 к.1'!F25+'Чичерина 16'!F25+'Чичерина 22'!F25+#REF!+'Ленина 68,8'!F25+'Ленина 67'!F25+'Огарева 20'!F25+'Пролетарская 40'!F24+'Чижевского 4'!F25</f>
        <v>#REF!</v>
      </c>
      <c r="G25" s="8" t="e">
        <f>'Телевизионная 2а'!G25+'Пионерская 16'!G24+' Пионерская 1318 кв.1-50'!G25+'Багговута 12'!G26+'Пионерская 15'!G24+'Социалистическая 3'!G25+'Социалистическая 4'!G25+'Социалистическая 6'!G25+'Социалистическая 6 к.1'!G25+'Социалистическая 9'!G25+'Социалистическая 12'!G25+'Телевизионная 2'!G25+'Телевизионная 4'!G25+'Чичерина 7а'!G25+'Чичерина 8'!G25+#REF!+'Чичерина 16 к. 1'!G25+'пер.Чичерина 24'!#REF!+'пер. Чичерина 28'!G25+'Калинина 12'!G26+'Калинина 18'!G25+'Калинина 23'!G25+'Пионерская 9'!G26+'Высокая 4'!G25+'Пухова 15'!G26+#REF!+#REF!+'Пухова 17'!G25+'Калинина 4'!G24+'Пионерская 18'!G26+'Чичерина 12 к.1'!G25+'Телевизионная 6 к.1'!G25+#REF!+'Пионерская 2'!G25+'Телевизионная 2 к.1'!G25+'Чичерина 16'!G25+'Чичерина 22'!G25+#REF!+'Ленина 68,8'!G25+'Ленина 67'!G25+'Огарева 20'!G25+'Пролетарская 40'!G24+'Чижевского 4'!G25</f>
        <v>#REF!</v>
      </c>
    </row>
    <row r="26" spans="1:7" ht="15">
      <c r="A26" s="7" t="s">
        <v>31</v>
      </c>
      <c r="B26" s="24" t="s">
        <v>116</v>
      </c>
      <c r="C26" s="25">
        <v>1.61</v>
      </c>
      <c r="D26" s="8" t="e">
        <f>'Телевизионная 2а'!D26+'Пионерская 16'!D25+' Пионерская 1318 кв.1-50'!D26+'Багговута 12'!D27+'Пионерская 15'!D25+'Социалистическая 3'!D26+'Социалистическая 4'!D26+'Социалистическая 6'!D26+'Социалистическая 6 к.1'!D26+'Социалистическая 9'!D26+'Социалистическая 12'!D26+'Телевизионная 2'!D26+'Телевизионная 4'!D26+'Чичерина 7а'!D26+'Чичерина 8'!D26+#REF!+'Чичерина 16 к. 1'!D26+'пер.Чичерина 24'!D25+'пер. Чичерина 28'!D26+'Калинина 12'!D27+'Калинина 18'!D26+'Калинина 23'!D26+'Пионерская 9'!D27+'Высокая 4'!D26+'Пухова 15'!D27+#REF!+#REF!+'Пухова 17'!D26+'Калинина 4'!D25+'Пионерская 18'!D27+'Чичерина 12 к.1'!D26+'Телевизионная 6 к.1'!D26+#REF!+'Пионерская 2'!D26+'Телевизионная 2 к.1'!D26+'Чичерина 16'!D26+'Чичерина 22'!D26+#REF!+'Ленина 68,8'!D26+'Ленина 67'!D26+'Огарева 20'!D26+'Пролетарская 40'!D25+'Чижевского 4'!D26</f>
        <v>#REF!</v>
      </c>
      <c r="E26" s="8" t="e">
        <f>'Телевизионная 2а'!E26+'Пионерская 16'!E25+' Пионерская 1318 кв.1-50'!E26+'Багговута 12'!E27+'Пионерская 15'!E25+'Социалистическая 3'!E26+'Социалистическая 4'!E26+'Социалистическая 6'!E26+'Социалистическая 6 к.1'!E26+'Социалистическая 9'!E26+'Социалистическая 12'!E26+'Телевизионная 2'!E26+'Телевизионная 4'!E26+'Чичерина 7а'!E26+'Чичерина 8'!E26+#REF!+'Чичерина 16 к. 1'!E26+'пер.Чичерина 24'!E25+'пер. Чичерина 28'!E26+'Калинина 12'!E27+'Калинина 18'!E26+'Калинина 23'!E26+'Пионерская 9'!E27+'Высокая 4'!E26+'Пухова 15'!E27+#REF!+#REF!+'Пухова 17'!E26+'Калинина 4'!E25+'Пионерская 18'!E27+'Чичерина 12 к.1'!E26+'Телевизионная 6 к.1'!E26+#REF!+'Пионерская 2'!E26+'Телевизионная 2 к.1'!E26+'Чичерина 16'!E26+'Чичерина 22'!E26+#REF!+'Ленина 68,8'!E26+'Ленина 67'!E26+'Огарева 20'!E26+'Пролетарская 40'!E25+'Чижевского 4'!E26</f>
        <v>#REF!</v>
      </c>
      <c r="F26" s="8" t="e">
        <f>'Телевизионная 2а'!F26+'Пионерская 16'!F25+' Пионерская 1318 кв.1-50'!F26+'Багговута 12'!F27+'Пионерская 15'!F25+'Социалистическая 3'!F26+'Социалистическая 4'!F26+'Социалистическая 6'!F26+'Социалистическая 6 к.1'!F26+'Социалистическая 9'!F26+'Социалистическая 12'!F26+'Телевизионная 2'!F26+'Телевизионная 4'!F26+'Чичерина 7а'!F26+'Чичерина 8'!F26+#REF!+'Чичерина 16 к. 1'!F26+'пер.Чичерина 24'!F25+'пер. Чичерина 28'!F26+'Калинина 12'!F27+'Калинина 18'!F26+'Калинина 23'!F26+'Пионерская 9'!F27+'Высокая 4'!F26+'Пухова 15'!F27+#REF!+#REF!+'Пухова 17'!F26+'Калинина 4'!F25+'Пионерская 18'!F27+'Чичерина 12 к.1'!F26+'Телевизионная 6 к.1'!F26+#REF!+'Пионерская 2'!F26+'Телевизионная 2 к.1'!F26+'Чичерина 16'!F26+'Чичерина 22'!F26+#REF!+'Ленина 68,8'!F26+'Ленина 67'!F26+'Огарева 20'!F26+'Пролетарская 40'!F25+'Чижевского 4'!F26</f>
        <v>#REF!</v>
      </c>
      <c r="G26" s="8" t="e">
        <f>'Телевизионная 2а'!G26+'Пионерская 16'!G25+' Пионерская 1318 кв.1-50'!G26+'Багговута 12'!G27+'Пионерская 15'!G25+'Социалистическая 3'!G26+'Социалистическая 4'!G26+'Социалистическая 6'!G26+'Социалистическая 6 к.1'!G26+'Социалистическая 9'!G26+'Социалистическая 12'!G26+'Телевизионная 2'!G26+'Телевизионная 4'!G26+'Чичерина 7а'!G26+'Чичерина 8'!G26+#REF!+'Чичерина 16 к. 1'!G26+'пер.Чичерина 24'!G25+'пер. Чичерина 28'!G26+'Калинина 12'!G27+'Калинина 18'!G26+'Калинина 23'!G26+'Пионерская 9'!G27+'Высокая 4'!G26+'Пухова 15'!G27+#REF!+#REF!+'Пухова 17'!G26+'Калинина 4'!G25+'Пионерская 18'!G27+'Чичерина 12 к.1'!G26+'Телевизионная 6 к.1'!G26+#REF!+'Пионерская 2'!G26+'Телевизионная 2 к.1'!G26+'Чичерина 16'!G26+'Чичерина 22'!G26+#REF!+'Ленина 68,8'!G26+'Ленина 67'!G26+'Огарева 20'!G26+'Пролетарская 40'!G25+'Чижевского 4'!G26</f>
        <v>#REF!</v>
      </c>
    </row>
    <row r="27" spans="1:7" ht="30">
      <c r="A27" s="7" t="s">
        <v>33</v>
      </c>
      <c r="B27" s="7" t="s">
        <v>34</v>
      </c>
      <c r="C27" s="25">
        <v>0</v>
      </c>
      <c r="D27" s="8" t="e">
        <f>'Телевизионная 2а'!D27+'Пионерская 16'!#REF!+' Пионерская 1318 кв.1-50'!D27+'Багговута 12'!D28+'Пионерская 15'!D26+'Социалистическая 3'!D27+'Социалистическая 4'!D27+'Социалистическая 6'!D27+'Социалистическая 6 к.1'!D27+'Социалистическая 9'!D27+'Социалистическая 12'!D27+'Телевизионная 2'!D27+'Телевизионная 4'!D27+'Чичерина 7а'!D27+'Чичерина 8'!D27+#REF!+'Чичерина 16 к. 1'!D27+'пер.Чичерина 24'!D26+'пер. Чичерина 28'!D27+'Калинина 12'!D28+'Калинина 18'!D27+'Калинина 23'!D27+'Пионерская 9'!D28+'Высокая 4'!D27+'Пухова 15'!D28+#REF!+#REF!+'Пухова 17'!D27+'Калинина 4'!D26+'Пионерская 18'!D28+'Чичерина 12 к.1'!D27+'Телевизионная 6 к.1'!D27+#REF!+'Пионерская 2'!D27+'Телевизионная 2 к.1'!D27+'Чичерина 16'!D27+'Чичерина 22'!D27+#REF!+'Ленина 68,8'!D27+'Ленина 67'!D27+'Огарева 20'!D27+'Пролетарская 40'!D26+'Чижевского 4'!D27</f>
        <v>#REF!</v>
      </c>
      <c r="E27" s="8" t="e">
        <f>'Телевизионная 2а'!E27+'Пионерская 16'!#REF!+' Пионерская 1318 кв.1-50'!E27+'Багговута 12'!E28+'Пионерская 15'!E26+'Социалистическая 3'!E27+'Социалистическая 4'!E27+'Социалистическая 6'!E27+'Социалистическая 6 к.1'!E27+'Социалистическая 9'!E27+'Социалистическая 12'!E27+'Телевизионная 2'!E27+'Телевизионная 4'!E27+'Чичерина 7а'!E27+'Чичерина 8'!E27+#REF!+'Чичерина 16 к. 1'!E27+'пер.Чичерина 24'!E26+'пер. Чичерина 28'!E27+'Калинина 12'!E28+'Калинина 18'!E27+'Калинина 23'!E27+'Пионерская 9'!E28+'Высокая 4'!E27+'Пухова 15'!E28+#REF!+#REF!+'Пухова 17'!E27+'Калинина 4'!E26+'Пионерская 18'!E28+'Чичерина 12 к.1'!E27+'Телевизионная 6 к.1'!E27+#REF!+'Пионерская 2'!E27+'Телевизионная 2 к.1'!E27+'Чичерина 16'!E27+'Чичерина 22'!E27+#REF!+'Ленина 68,8'!E27+'Ленина 67'!E27+'Огарева 20'!E27+'Пролетарская 40'!E26+'Чижевского 4'!E27</f>
        <v>#REF!</v>
      </c>
      <c r="F27" s="8" t="e">
        <f>'Телевизионная 2а'!F27+'Пионерская 16'!#REF!+' Пионерская 1318 кв.1-50'!F27+'Багговута 12'!F28+'Пионерская 15'!F26+'Социалистическая 3'!F27+'Социалистическая 4'!F27+'Социалистическая 6'!F27+'Социалистическая 6 к.1'!F27+'Социалистическая 9'!F27+'Социалистическая 12'!F27+'Телевизионная 2'!F27+'Телевизионная 4'!F27+'Чичерина 7а'!F27+'Чичерина 8'!F27+#REF!+'Чичерина 16 к. 1'!F27+'пер.Чичерина 24'!F26+'пер. Чичерина 28'!F27+'Калинина 12'!F28+'Калинина 18'!F27+'Калинина 23'!F27+'Пионерская 9'!F28+'Высокая 4'!F27+'Пухова 15'!F28+#REF!+#REF!+'Пухова 17'!F27+'Калинина 4'!F26+'Пионерская 18'!F28+'Чичерина 12 к.1'!F27+'Телевизионная 6 к.1'!F27+#REF!+'Пионерская 2'!F27+'Телевизионная 2 к.1'!F27+'Чичерина 16'!F27+'Чичерина 22'!F27+#REF!+'Ленина 68,8'!F27+'Ленина 67'!F27+'Огарева 20'!F27+'Пролетарская 40'!F26+'Чижевского 4'!F27</f>
        <v>#REF!</v>
      </c>
      <c r="G27" s="8" t="e">
        <f>'Телевизионная 2а'!G27+'Пионерская 16'!#REF!+' Пионерская 1318 кв.1-50'!G27+'Багговута 12'!G28+'Пионерская 15'!G26+'Социалистическая 3'!G27+'Социалистическая 4'!G27+'Социалистическая 6'!G27+'Социалистическая 6 к.1'!G27+'Социалистическая 9'!G27+'Социалистическая 12'!G27+'Телевизионная 2'!G27+'Телевизионная 4'!G27+'Чичерина 7а'!G27+'Чичерина 8'!G27+#REF!+'Чичерина 16 к. 1'!G27+'пер.Чичерина 24'!G26+'пер. Чичерина 28'!G27+'Калинина 12'!G28+'Калинина 18'!G27+'Калинина 23'!G27+'Пионерская 9'!G28+'Высокая 4'!G27+'Пухова 15'!G28+#REF!+#REF!+'Пухова 17'!G27+'Калинина 4'!G26+'Пионерская 18'!G28+'Чичерина 12 к.1'!G27+'Телевизионная 6 к.1'!G27+#REF!+'Пионерская 2'!G27+'Телевизионная 2 к.1'!G27+'Чичерина 16'!G27+'Чичерина 22'!G27+#REF!+'Ленина 68,8'!G27+'Ленина 67'!G27+'Огарева 20'!G27+'Пролетарская 40'!G26+'Чижевского 4'!G27</f>
        <v>#REF!</v>
      </c>
    </row>
    <row r="28" spans="1:7" ht="30">
      <c r="A28" s="7" t="s">
        <v>35</v>
      </c>
      <c r="B28" s="7" t="s">
        <v>36</v>
      </c>
      <c r="C28" s="25">
        <f>SUM(C29:C32)</f>
        <v>1680.9299999999998</v>
      </c>
      <c r="D28" s="8" t="e">
        <f>'Телевизионная 2а'!D28+'Пионерская 16'!D26+' Пионерская 1318 кв.1-50'!D28+'Багговута 12'!D29+'Пионерская 15'!D27+'Социалистическая 3'!D28+'Социалистическая 4'!D28+'Социалистическая 6'!D28+'Социалистическая 6 к.1'!D28+'Социалистическая 9'!D28+'Социалистическая 12'!D28+'Телевизионная 2'!D28+'Телевизионная 4'!D28+'Чичерина 7а'!D28+'Чичерина 8'!D28+#REF!+'Чичерина 16 к. 1'!D28+'пер.Чичерина 24'!D27+'пер. Чичерина 28'!D28+'Калинина 12'!D29+'Калинина 18'!D28+'Калинина 23'!D28+'Пионерская 9'!D29+'Высокая 4'!D28+'Пухова 15'!D29+#REF!+#REF!+'Пухова 17'!D28+'Калинина 4'!D28+'Пионерская 18'!D29+'Чичерина 12 к.1'!D28+'Телевизионная 6 к.1'!D28+#REF!+'Пионерская 2'!D28+'Телевизионная 2 к.1'!D28+'Чичерина 16'!D28+'Чичерина 22'!D28+#REF!+'Ленина 68,8'!D29+'Ленина 67'!D28+'Огарева 20'!D28+'Пролетарская 40'!D27+'Чижевского 4'!D28</f>
        <v>#REF!</v>
      </c>
      <c r="E28" s="8" t="e">
        <f>'Телевизионная 2а'!E28+'Пионерская 16'!E26+' Пионерская 1318 кв.1-50'!E28+'Багговута 12'!E29+'Пионерская 15'!E27+'Социалистическая 3'!E28+'Социалистическая 4'!E28+'Социалистическая 6'!E28+'Социалистическая 6 к.1'!E28+'Социалистическая 9'!E28+'Социалистическая 12'!E28+'Телевизионная 2'!E28+'Телевизионная 4'!E28+'Чичерина 7а'!E28+'Чичерина 8'!E28+#REF!+'Чичерина 16 к. 1'!E28+'пер.Чичерина 24'!E27+'пер. Чичерина 28'!E28+'Калинина 12'!E29+'Калинина 18'!E28+'Калинина 23'!E28+'Пионерская 9'!E29+'Высокая 4'!E28+'Пухова 15'!E29+#REF!+#REF!+'Пухова 17'!E28+'Калинина 4'!E28+'Пионерская 18'!E29+'Чичерина 12 к.1'!E28+'Телевизионная 6 к.1'!E28+#REF!+'Пионерская 2'!E28+'Телевизионная 2 к.1'!E28+'Чичерина 16'!E28+'Чичерина 22'!E28+#REF!+'Ленина 68,8'!E29+'Ленина 67'!E28+'Огарева 20'!E28+'Пролетарская 40'!E27+'Чижевского 4'!E28</f>
        <v>#REF!</v>
      </c>
      <c r="F28" s="8" t="e">
        <f>'Телевизионная 2а'!F28+'Пионерская 16'!F26+' Пионерская 1318 кв.1-50'!F28+'Багговута 12'!F29+'Пионерская 15'!F27+'Социалистическая 3'!F28+'Социалистическая 4'!F28+'Социалистическая 6'!F28+'Социалистическая 6 к.1'!F28+'Социалистическая 9'!F28+'Социалистическая 12'!F28+'Телевизионная 2'!F28+'Телевизионная 4'!F28+'Чичерина 7а'!F28+'Чичерина 8'!F28+#REF!+'Чичерина 16 к. 1'!F28+'пер.Чичерина 24'!F27+'пер. Чичерина 28'!F28+'Калинина 12'!F29+'Калинина 18'!F28+'Калинина 23'!F28+'Пионерская 9'!F29+'Высокая 4'!F28+'Пухова 15'!F29+#REF!+#REF!+'Пухова 17'!F28+'Калинина 4'!F28+'Пионерская 18'!F29+'Чичерина 12 к.1'!F28+'Телевизионная 6 к.1'!F28+#REF!+'Пионерская 2'!F28+'Телевизионная 2 к.1'!F28+'Чичерина 16'!F28+'Чичерина 22'!F28+#REF!+'Ленина 68,8'!F29+'Ленина 67'!F28+'Огарева 20'!F28+'Пролетарская 40'!F27+'Чижевского 4'!F28</f>
        <v>#REF!</v>
      </c>
      <c r="G28" s="8" t="e">
        <f>'Телевизионная 2а'!G28+'Пионерская 16'!G26+' Пионерская 1318 кв.1-50'!G28+'Багговута 12'!G29+'Пионерская 15'!G27+'Социалистическая 3'!G28+'Социалистическая 4'!G28+'Социалистическая 6'!G28+'Социалистическая 6 к.1'!G28+'Социалистическая 9'!G28+'Социалистическая 12'!G28+'Телевизионная 2'!G28+'Телевизионная 4'!G28+'Чичерина 7а'!G28+'Чичерина 8'!G28+#REF!+'Чичерина 16 к. 1'!G28+'пер.Чичерина 24'!G27+'пер. Чичерина 28'!G28+'Калинина 12'!G29+'Калинина 18'!G28+'Калинина 23'!G28+'Пионерская 9'!G29+'Высокая 4'!G28+'Пухова 15'!G29+#REF!+#REF!+'Пухова 17'!G28+'Калинина 4'!G28+'Пионерская 18'!G29+'Чичерина 12 к.1'!G28+'Телевизионная 6 к.1'!G28+#REF!+'Пионерская 2'!G28+'Телевизионная 2 к.1'!G28+'Чичерина 16'!G28+'Чичерина 22'!G28+#REF!+'Ленина 68,8'!G29+'Ленина 67'!G28+'Огарева 20'!G28+'Пролетарская 40'!G27+'Чижевского 4'!G28</f>
        <v>#REF!</v>
      </c>
    </row>
    <row r="29" spans="1:7" ht="15">
      <c r="A29" s="7" t="s">
        <v>37</v>
      </c>
      <c r="B29" s="7" t="s">
        <v>93</v>
      </c>
      <c r="C29" s="12">
        <v>3.13</v>
      </c>
      <c r="D29" s="8" t="e">
        <f>'Телевизионная 2а'!D29+'Пионерская 16'!D27+' Пионерская 1318 кв.1-50'!D29+'Багговута 12'!D30+'Пионерская 15'!D28+'Социалистическая 3'!D29+'Социалистическая 4'!D29+'Социалистическая 6'!D29+'Социалистическая 6 к.1'!D29+'Социалистическая 9'!D29+'Социалистическая 12'!D29+'Телевизионная 2'!D29+'Телевизионная 4'!D29+'Чичерина 7а'!D29+'Чичерина 8'!D29+#REF!+'Чичерина 16 к. 1'!D29+'пер.Чичерина 24'!D28+'пер. Чичерина 28'!D29+'Калинина 12'!D30+'Калинина 18'!D29+'Калинина 23'!D29+'Пионерская 9'!D30+'Высокая 4'!D29+'Пухова 15'!D30+#REF!+#REF!+'Пухова 17'!D29+'Калинина 4'!D29+'Пионерская 18'!D30+'Чичерина 12 к.1'!D29+'Телевизионная 6 к.1'!D29+#REF!+'Пионерская 2'!D29+'Телевизионная 2 к.1'!D29+'Чичерина 16'!D29+'Чичерина 22'!D29+#REF!+'Ленина 68,8'!D30+'Ленина 67'!D29+'Огарева 20'!D29+'Пролетарская 40'!D28+'Чижевского 4'!D29</f>
        <v>#REF!</v>
      </c>
      <c r="E29" s="8" t="e">
        <f>'Телевизионная 2а'!E29+'Пионерская 16'!E27+' Пионерская 1318 кв.1-50'!E29+'Багговута 12'!E30+'Пионерская 15'!E28+'Социалистическая 3'!E29+'Социалистическая 4'!E29+'Социалистическая 6'!E29+'Социалистическая 6 к.1'!E29+'Социалистическая 9'!E29+'Социалистическая 12'!E29+'Телевизионная 2'!E29+'Телевизионная 4'!E29+'Чичерина 7а'!E29+'Чичерина 8'!E29+#REF!+'Чичерина 16 к. 1'!E29+'пер.Чичерина 24'!E28+'пер. Чичерина 28'!E29+'Калинина 12'!E30+'Калинина 18'!E29+'Калинина 23'!E29+'Пионерская 9'!E30+'Высокая 4'!E29+'Пухова 15'!E30+#REF!+#REF!+'Пухова 17'!E29+'Калинина 4'!E29+'Пионерская 18'!E30+'Чичерина 12 к.1'!E29+'Телевизионная 6 к.1'!E29+#REF!+'Пионерская 2'!E29+'Телевизионная 2 к.1'!E29+'Чичерина 16'!E29+'Чичерина 22'!E29+#REF!+'Ленина 68,8'!E30+'Ленина 67'!E29+'Огарева 20'!E29+'Пролетарская 40'!E28+'Чижевского 4'!E29</f>
        <v>#REF!</v>
      </c>
      <c r="F29" s="8" t="e">
        <f>'Телевизионная 2а'!F29+'Пионерская 16'!F27+' Пионерская 1318 кв.1-50'!F29+'Багговута 12'!F30+'Пионерская 15'!F28+'Социалистическая 3'!F29+'Социалистическая 4'!F29+'Социалистическая 6'!F29+'Социалистическая 6 к.1'!F29+'Социалистическая 9'!F29+'Социалистическая 12'!F29+'Телевизионная 2'!F29+'Телевизионная 4'!F29+'Чичерина 7а'!F29+'Чичерина 8'!F29+#REF!+'Чичерина 16 к. 1'!F29+'пер.Чичерина 24'!F28+'пер. Чичерина 28'!F29+'Калинина 12'!F30+'Калинина 18'!F29+'Калинина 23'!F29+'Пионерская 9'!F30+'Высокая 4'!F29+'Пухова 15'!F30+#REF!+#REF!+'Пухова 17'!F29+'Калинина 4'!F29+'Пионерская 18'!F30+'Чичерина 12 к.1'!F29+'Телевизионная 6 к.1'!F29+#REF!+'Пионерская 2'!F29+'Телевизионная 2 к.1'!F29+'Чичерина 16'!F29+'Чичерина 22'!F29+#REF!+'Ленина 68,8'!F30+'Ленина 67'!F29+'Огарева 20'!F29+'Пролетарская 40'!F28+'Чижевского 4'!F29</f>
        <v>#REF!</v>
      </c>
      <c r="G29" s="8" t="e">
        <f>'Телевизионная 2а'!G29+'Пионерская 16'!G27+' Пионерская 1318 кв.1-50'!G29+'Багговута 12'!G30+'Пионерская 15'!G28+'Социалистическая 3'!G29+'Социалистическая 4'!G29+'Социалистическая 6'!G29+'Социалистическая 6 к.1'!G29+'Социалистическая 9'!G29+'Социалистическая 12'!G29+'Телевизионная 2'!G29+'Телевизионная 4'!G29+'Чичерина 7а'!G29+'Чичерина 8'!G29+#REF!+'Чичерина 16 к. 1'!G29+'пер.Чичерина 24'!G28+'пер. Чичерина 28'!G29+'Калинина 12'!G30+'Калинина 18'!G29+'Калинина 23'!G29+'Пионерская 9'!G30+'Высокая 4'!G29+'Пухова 15'!G30+#REF!+#REF!+'Пухова 17'!G29+'Калинина 4'!G29+'Пионерская 18'!G30+'Чичерина 12 к.1'!G29+'Телевизионная 6 к.1'!G29+#REF!+'Пионерская 2'!G29+'Телевизионная 2 к.1'!G29+'Чичерина 16'!G29+'Чичерина 22'!G29+#REF!+'Ленина 68,8'!G30+'Ленина 67'!G29+'Огарева 20'!G29+'Пролетарская 40'!G28+'Чижевского 4'!G29</f>
        <v>#REF!</v>
      </c>
    </row>
    <row r="30" spans="1:7" ht="15">
      <c r="A30" s="7" t="s">
        <v>39</v>
      </c>
      <c r="B30" s="7" t="s">
        <v>38</v>
      </c>
      <c r="C30" s="12">
        <v>18.21</v>
      </c>
      <c r="D30" s="8" t="e">
        <f>'Телевизионная 2а'!D30+'Пионерская 16'!D28+' Пионерская 1318 кв.1-50'!D30+'Багговута 12'!D31+'Пионерская 15'!D29+'Социалистическая 3'!D30+'Социалистическая 4'!D30+'Социалистическая 6'!D30+'Социалистическая 6 к.1'!D30+'Социалистическая 9'!D30+'Социалистическая 12'!D30+'Телевизионная 2'!D30+'Телевизионная 4'!D30+'Чичерина 7а'!D30+'Чичерина 8'!D30+#REF!+'Чичерина 16 к. 1'!D30+'пер.Чичерина 24'!D29+'пер. Чичерина 28'!D30+'Калинина 12'!D31+'Калинина 18'!D30+'Калинина 23'!D30+'Пионерская 9'!D31+'Высокая 4'!D30+'Пухова 15'!D31+#REF!+#REF!+'Пухова 17'!D30+'Калинина 4'!D30+'Пионерская 18'!D31+'Чичерина 12 к.1'!D30+'Телевизионная 6 к.1'!D30+#REF!+'Пионерская 2'!D30+'Телевизионная 2 к.1'!D30+'Чичерина 16'!D30+'Чичерина 22'!D30+#REF!+'Ленина 68,8'!D31+'Ленина 67'!D30+'Огарева 20'!D30+'Пролетарская 40'!D29+'Чижевского 4'!D30</f>
        <v>#REF!</v>
      </c>
      <c r="E30" s="8" t="e">
        <f>'Телевизионная 2а'!E30+'Пионерская 16'!E28+' Пионерская 1318 кв.1-50'!E30+'Багговута 12'!E31+'Пионерская 15'!E29+'Социалистическая 3'!E30+'Социалистическая 4'!E30+'Социалистическая 6'!E30+'Социалистическая 6 к.1'!E30+'Социалистическая 9'!E30+'Социалистическая 12'!E30+'Телевизионная 2'!E30+'Телевизионная 4'!E30+'Чичерина 7а'!E30+'Чичерина 8'!E30+#REF!+'Чичерина 16 к. 1'!E30+'пер.Чичерина 24'!E29+'пер. Чичерина 28'!E30+'Калинина 12'!E31+'Калинина 18'!E30+'Калинина 23'!E30+'Пионерская 9'!E31+'Высокая 4'!E30+'Пухова 15'!E31+#REF!+#REF!+'Пухова 17'!E30+'Калинина 4'!E30+'Пионерская 18'!E31+'Чичерина 12 к.1'!E30+'Телевизионная 6 к.1'!E30+#REF!+'Пионерская 2'!E30+'Телевизионная 2 к.1'!E30+'Чичерина 16'!E30+'Чичерина 22'!E30+#REF!+'Ленина 68,8'!E31+'Ленина 67'!E30+'Огарева 20'!E30+'Пролетарская 40'!E29+'Чижевского 4'!E30</f>
        <v>#REF!</v>
      </c>
      <c r="F30" s="8" t="e">
        <f>'Телевизионная 2а'!F30+'Пионерская 16'!F28+' Пионерская 1318 кв.1-50'!F30+'Багговута 12'!F31+'Пионерская 15'!F29+'Социалистическая 3'!F30+'Социалистическая 4'!F30+'Социалистическая 6'!F30+'Социалистическая 6 к.1'!F30+'Социалистическая 9'!F30+'Социалистическая 12'!F30+'Телевизионная 2'!F30+'Телевизионная 4'!F30+'Чичерина 7а'!F30+'Чичерина 8'!F30+#REF!+'Чичерина 16 к. 1'!F30+'пер.Чичерина 24'!F29+'пер. Чичерина 28'!F30+'Калинина 12'!F31+'Калинина 18'!F30+'Калинина 23'!F30+'Пионерская 9'!F31+'Высокая 4'!F30+'Пухова 15'!F31+#REF!+#REF!+'Пухова 17'!F30+'Калинина 4'!F30+'Пионерская 18'!F31+'Чичерина 12 к.1'!F30+'Телевизионная 6 к.1'!F30+#REF!+'Пионерская 2'!F30+'Телевизионная 2 к.1'!F30+'Чичерина 16'!F30+'Чичерина 22'!F30+#REF!+'Ленина 68,8'!F31+'Ленина 67'!F30+'Огарева 20'!F30+'Пролетарская 40'!F29+'Чижевского 4'!F30</f>
        <v>#REF!</v>
      </c>
      <c r="G30" s="8" t="e">
        <f>'Телевизионная 2а'!G30+'Пионерская 16'!G28+' Пионерская 1318 кв.1-50'!G30+'Багговута 12'!G31+'Пионерская 15'!G29+'Социалистическая 3'!G30+'Социалистическая 4'!G30+'Социалистическая 6'!G30+'Социалистическая 6 к.1'!G30+'Социалистическая 9'!G30+'Социалистическая 12'!G30+'Телевизионная 2'!G30+'Телевизионная 4'!G30+'Чичерина 7а'!G30+'Чичерина 8'!G30+#REF!+'Чичерина 16 к. 1'!G30+'пер.Чичерина 24'!G29+'пер. Чичерина 28'!G30+'Калинина 12'!G31+'Калинина 18'!G30+'Калинина 23'!G30+'Пионерская 9'!G31+'Высокая 4'!G30+'Пухова 15'!G31+#REF!+#REF!+'Пухова 17'!G30+'Калинина 4'!G30+'Пионерская 18'!G31+'Чичерина 12 к.1'!G30+'Телевизионная 6 к.1'!G30+#REF!+'Пионерская 2'!G30+'Телевизионная 2 к.1'!G30+'Чичерина 16'!G30+'Чичерина 22'!G30+#REF!+'Ленина 68,8'!G31+'Ленина 67'!G30+'Огарева 20'!G30+'Пролетарская 40'!G29+'Чижевского 4'!G30</f>
        <v>#REF!</v>
      </c>
    </row>
    <row r="31" spans="1:7" ht="15">
      <c r="A31" s="7" t="s">
        <v>42</v>
      </c>
      <c r="B31" s="7" t="s">
        <v>40</v>
      </c>
      <c r="C31" s="12">
        <v>115.3</v>
      </c>
      <c r="D31" s="8" t="e">
        <f>'Телевизионная 2а'!D31+'Пионерская 16'!D29+' Пионерская 1318 кв.1-50'!D31+'Багговута 12'!D32+'Пионерская 15'!D30+'Социалистическая 3'!D31+'Социалистическая 4'!D31+'Социалистическая 6'!D31+'Социалистическая 6 к.1'!D31+'Социалистическая 9'!D31+'Социалистическая 12'!D31+'Телевизионная 2'!D31+'Телевизионная 4'!D31+'Чичерина 7а'!D31+'Чичерина 8'!D31+#REF!+'Чичерина 16 к. 1'!D31+'пер.Чичерина 24'!D30+'пер. Чичерина 28'!D31+'Калинина 12'!D32+'Калинина 18'!D31+'Калинина 23'!D31+'Пионерская 9'!D32+'Высокая 4'!D31+'Пухова 15'!D32+#REF!+#REF!+'Пухова 17'!D31+'Калинина 4'!D31+'Пионерская 18'!D32+'Чичерина 12 к.1'!D31+'Телевизионная 6 к.1'!D31+#REF!+'Пионерская 2'!D31+'Телевизионная 2 к.1'!D31+'Чичерина 16'!D31+'Чичерина 22'!D31+#REF!+'Ленина 68,8'!D32+'Ленина 67'!D31+'Огарева 20'!D31+'Пролетарская 40'!D30+'Чижевского 4'!D31</f>
        <v>#REF!</v>
      </c>
      <c r="E31" s="8" t="e">
        <f>'Телевизионная 2а'!E31+'Пионерская 16'!E29+' Пионерская 1318 кв.1-50'!E31+'Багговута 12'!E32+'Пионерская 15'!E30+'Социалистическая 3'!E31+'Социалистическая 4'!E31+'Социалистическая 6'!E31+'Социалистическая 6 к.1'!E31+'Социалистическая 9'!E31+'Социалистическая 12'!E31+'Телевизионная 2'!E31+'Телевизионная 4'!E31+'Чичерина 7а'!E31+'Чичерина 8'!E31+#REF!+'Чичерина 16 к. 1'!E31+'пер.Чичерина 24'!E30+'пер. Чичерина 28'!E31+'Калинина 12'!E32+'Калинина 18'!E31+'Калинина 23'!E31+'Пионерская 9'!E32+'Высокая 4'!E31+'Пухова 15'!E32+#REF!+#REF!+'Пухова 17'!E31+'Калинина 4'!E31+'Пионерская 18'!E32+'Чичерина 12 к.1'!E31+'Телевизионная 6 к.1'!E31+#REF!+'Пионерская 2'!E31+'Телевизионная 2 к.1'!E31+'Чичерина 16'!E31+'Чичерина 22'!E31+#REF!+'Ленина 68,8'!E32+'Ленина 67'!E31+'Огарева 20'!E31+'Пролетарская 40'!E30+'Чижевского 4'!E31</f>
        <v>#REF!</v>
      </c>
      <c r="F31" s="8" t="e">
        <f>'Телевизионная 2а'!F31+'Пионерская 16'!F29+' Пионерская 1318 кв.1-50'!F31+'Багговута 12'!F32+'Пионерская 15'!F30+'Социалистическая 3'!F31+'Социалистическая 4'!F31+'Социалистическая 6'!F31+'Социалистическая 6 к.1'!F31+'Социалистическая 9'!F31+'Социалистическая 12'!F31+'Телевизионная 2'!F31+'Телевизионная 4'!F31+'Чичерина 7а'!F31+'Чичерина 8'!F31+#REF!+'Чичерина 16 к. 1'!F31+'пер.Чичерина 24'!F30+'пер. Чичерина 28'!F31+'Калинина 12'!F32+'Калинина 18'!F31+'Калинина 23'!F31+'Пионерская 9'!F32+'Высокая 4'!F31+'Пухова 15'!F32+#REF!+#REF!+'Пухова 17'!F31+'Калинина 4'!F31+'Пионерская 18'!F32+'Чичерина 12 к.1'!F31+'Телевизионная 6 к.1'!F31+#REF!+'Пионерская 2'!F31+'Телевизионная 2 к.1'!F31+'Чичерина 16'!F31+'Чичерина 22'!F31+#REF!+'Ленина 68,8'!F32+'Ленина 67'!F31+'Огарева 20'!F31+'Пролетарская 40'!F30+'Чижевского 4'!F31</f>
        <v>#REF!</v>
      </c>
      <c r="G31" s="8" t="e">
        <f>'Телевизионная 2а'!G31+'Пионерская 16'!G29+' Пионерская 1318 кв.1-50'!G31+'Багговута 12'!G32+'Пионерская 15'!G30+'Социалистическая 3'!G31+'Социалистическая 4'!G31+'Социалистическая 6'!G31+'Социалистическая 6 к.1'!G31+'Социалистическая 9'!G31+'Социалистическая 12'!G31+'Телевизионная 2'!G31+'Телевизионная 4'!G31+'Чичерина 7а'!G31+'Чичерина 8'!G31+#REF!+'Чичерина 16 к. 1'!G31+'пер.Чичерина 24'!G30+'пер. Чичерина 28'!G31+'Калинина 12'!G32+'Калинина 18'!G31+'Калинина 23'!G31+'Пионерская 9'!G32+'Высокая 4'!G31+'Пухова 15'!G32+#REF!+#REF!+'Пухова 17'!G31+'Калинина 4'!G31+'Пионерская 18'!G32+'Чичерина 12 к.1'!G31+'Телевизионная 6 к.1'!G31+#REF!+'Пионерская 2'!G31+'Телевизионная 2 к.1'!G31+'Чичерина 16'!G31+'Чичерина 22'!G31+#REF!+'Ленина 68,8'!G32+'Ленина 67'!G31+'Огарева 20'!G31+'Пролетарская 40'!G30+'Чижевского 4'!G31</f>
        <v>#REF!</v>
      </c>
    </row>
    <row r="32" spans="1:7" ht="15">
      <c r="A32" s="7" t="s">
        <v>41</v>
      </c>
      <c r="B32" s="7" t="s">
        <v>43</v>
      </c>
      <c r="C32" s="12">
        <v>1544.29</v>
      </c>
      <c r="D32" s="8" t="e">
        <f>'Телевизионная 2а'!D32+'Пионерская 16'!D30+' Пионерская 1318 кв.1-50'!D32+'Багговута 12'!#REF!+'Пионерская 15'!D31+'Социалистическая 3'!D32+'Социалистическая 4'!D32+'Социалистическая 6'!D32+'Социалистическая 6 к.1'!D32+'Социалистическая 9'!D32+'Социалистическая 12'!D32+'Телевизионная 2'!D32+'Телевизионная 4'!D32+'Чичерина 7а'!D32+'Чичерина 8'!D32+#REF!+'Чичерина 16 к. 1'!D32+'пер.Чичерина 24'!D31+'пер. Чичерина 28'!D32+'Калинина 12'!D33+'Калинина 18'!D32+'Калинина 23'!D32+'Пионерская 9'!D33+'Высокая 4'!D32+'Пухова 15'!D33+#REF!+#REF!+'Пухова 17'!D32+'Калинина 4'!D32+'Пионерская 18'!D33+'Чичерина 12 к.1'!D32+'Телевизионная 6 к.1'!D32+#REF!+'Пионерская 2'!D32+'Телевизионная 2 к.1'!D32+'Чичерина 16'!D32+'Чичерина 22'!D32+#REF!+'Ленина 68,8'!D34+'Ленина 67'!D32+'Огарева 20'!D32+'Пролетарская 40'!D31+'Чижевского 4'!D32</f>
        <v>#REF!</v>
      </c>
      <c r="E32" s="8" t="e">
        <f>'Телевизионная 2а'!E32+'Пионерская 16'!E30+' Пионерская 1318 кв.1-50'!E32+'Багговута 12'!#REF!+'Пионерская 15'!E31+'Социалистическая 3'!E32+'Социалистическая 4'!E32+'Социалистическая 6'!E32+'Социалистическая 6 к.1'!E32+'Социалистическая 9'!E32+'Социалистическая 12'!E32+'Телевизионная 2'!E32+'Телевизионная 4'!E32+'Чичерина 7а'!E32+'Чичерина 8'!E32+#REF!+'Чичерина 16 к. 1'!E32+'пер.Чичерина 24'!E31+'пер. Чичерина 28'!E32+'Калинина 12'!E33+'Калинина 18'!E32+'Калинина 23'!E32+'Пионерская 9'!E33+'Высокая 4'!E32+'Пухова 15'!E33+#REF!+#REF!+'Пухова 17'!E32+'Калинина 4'!E32+'Пионерская 18'!E33+'Чичерина 12 к.1'!E32+'Телевизионная 6 к.1'!E32+#REF!+'Пионерская 2'!E32+'Телевизионная 2 к.1'!E32+'Чичерина 16'!E32+'Чичерина 22'!E32+#REF!+'Ленина 68,8'!E34+'Ленина 67'!E32+'Огарева 20'!E32+'Пролетарская 40'!E31+'Чижевского 4'!E32</f>
        <v>#REF!</v>
      </c>
      <c r="F32" s="8" t="e">
        <f>'Телевизионная 2а'!F32+'Пионерская 16'!F30+' Пионерская 1318 кв.1-50'!F32+'Багговута 12'!#REF!+'Пионерская 15'!F31+'Социалистическая 3'!F32+'Социалистическая 4'!F32+'Социалистическая 6'!F32+'Социалистическая 6 к.1'!F32+'Социалистическая 9'!F32+'Социалистическая 12'!F32+'Телевизионная 2'!F32+'Телевизионная 4'!F32+'Чичерина 7а'!F32+'Чичерина 8'!F32+#REF!+'Чичерина 16 к. 1'!F32+'пер.Чичерина 24'!F31+'пер. Чичерина 28'!F32+'Калинина 12'!F33+'Калинина 18'!F32+'Калинина 23'!F32+'Пионерская 9'!F33+'Высокая 4'!F32+'Пухова 15'!F33+#REF!+#REF!+'Пухова 17'!F32+'Калинина 4'!F32+'Пионерская 18'!F33+'Чичерина 12 к.1'!F32+'Телевизионная 6 к.1'!F32+#REF!+'Пионерская 2'!F32+'Телевизионная 2 к.1'!F32+'Чичерина 16'!F32+'Чичерина 22'!F32+#REF!+'Ленина 68,8'!F34+'Ленина 67'!F32+'Огарева 20'!F32+'Пролетарская 40'!F31+'Чижевского 4'!F32</f>
        <v>#REF!</v>
      </c>
      <c r="G32" s="8" t="e">
        <f>'Телевизионная 2а'!G32+'Пионерская 16'!G30+' Пионерская 1318 кв.1-50'!G32+'Багговута 12'!#REF!+'Пионерская 15'!G31+'Социалистическая 3'!G32+'Социалистическая 4'!G32+'Социалистическая 6'!G32+'Социалистическая 6 к.1'!G32+'Социалистическая 9'!G32+'Социалистическая 12'!G32+'Телевизионная 2'!G32+'Телевизионная 4'!G32+'Чичерина 7а'!G32+'Чичерина 8'!G32+#REF!+'Чичерина 16 к. 1'!G32+'пер.Чичерина 24'!G31+'пер. Чичерина 28'!G32+'Калинина 12'!G33+'Калинина 18'!G32+'Калинина 23'!G32+'Пионерская 9'!G33+'Высокая 4'!G32+'Пухова 15'!G33+#REF!+#REF!+'Пухова 17'!G32+'Калинина 4'!G32+'Пионерская 18'!G33+'Чичерина 12 к.1'!G32+'Телевизионная 6 к.1'!G32+#REF!+'Пионерская 2'!G32+'Телевизионная 2 к.1'!G32+'Чичерина 16'!G32+'Чичерина 22'!G32+#REF!+'Ленина 68,8'!G34+'Ленина 67'!G32+'Огарева 20'!G32+'Пролетарская 40'!G31+'Чижевского 4'!G32</f>
        <v>#REF!</v>
      </c>
    </row>
    <row r="33" spans="1:10" s="16" customFormat="1" ht="13.5">
      <c r="A33" s="587" t="s">
        <v>94</v>
      </c>
      <c r="B33" s="588"/>
      <c r="C33" s="589"/>
      <c r="D33" s="15" t="e">
        <f aca="true" t="shared" si="0" ref="D33:J33">D18+D23+D24+D25+D28</f>
        <v>#REF!</v>
      </c>
      <c r="E33" s="15" t="e">
        <f t="shared" si="0"/>
        <v>#REF!</v>
      </c>
      <c r="F33" s="15" t="e">
        <f t="shared" si="0"/>
        <v>#REF!</v>
      </c>
      <c r="G33" s="15" t="e">
        <f t="shared" si="0"/>
        <v>#REF!</v>
      </c>
      <c r="H33" s="15">
        <f t="shared" si="0"/>
        <v>6.75</v>
      </c>
      <c r="I33" s="15">
        <f t="shared" si="0"/>
        <v>0</v>
      </c>
      <c r="J33" s="15">
        <f t="shared" si="0"/>
        <v>0</v>
      </c>
    </row>
    <row r="34" s="3" customFormat="1" ht="15"/>
    <row r="35" spans="1:9" s="3" customFormat="1" ht="15">
      <c r="A35" s="3" t="s">
        <v>55</v>
      </c>
      <c r="G35" s="3" t="s">
        <v>49</v>
      </c>
      <c r="I35" s="3" t="s">
        <v>90</v>
      </c>
    </row>
    <row r="36" s="3" customFormat="1" ht="15"/>
    <row r="37" s="3" customFormat="1" ht="15"/>
    <row r="38" s="3" customFormat="1" ht="15">
      <c r="G38" s="4" t="s">
        <v>96</v>
      </c>
    </row>
    <row r="39" s="3" customFormat="1" ht="15"/>
    <row r="40" s="3" customFormat="1" ht="15"/>
    <row r="41" s="3" customFormat="1" ht="15">
      <c r="A41" s="3" t="s">
        <v>50</v>
      </c>
    </row>
    <row r="42" spans="3:7" s="3" customFormat="1" ht="15">
      <c r="C42" s="10" t="s">
        <v>51</v>
      </c>
      <c r="E42" s="10"/>
      <c r="F42" s="10"/>
      <c r="G42" s="10"/>
    </row>
    <row r="43" s="3" customFormat="1" ht="15"/>
    <row r="44" s="3" customFormat="1" ht="15"/>
  </sheetData>
  <sheetProtection/>
  <mergeCells count="8">
    <mergeCell ref="A15:I15"/>
    <mergeCell ref="A33:C33"/>
    <mergeCell ref="A1:I1"/>
    <mergeCell ref="A2:I2"/>
    <mergeCell ref="A3:I3"/>
    <mergeCell ref="A5:I5"/>
    <mergeCell ref="A13:I13"/>
    <mergeCell ref="A14:I1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P58"/>
  <sheetViews>
    <sheetView zoomScalePageLayoutView="0" workbookViewId="0" topLeftCell="A39">
      <selection activeCell="F50" sqref="F50:G50"/>
    </sheetView>
  </sheetViews>
  <sheetFormatPr defaultColWidth="9.140625" defaultRowHeight="15" outlineLevelCol="1"/>
  <cols>
    <col min="1" max="1" width="4.7109375" style="35" customWidth="1"/>
    <col min="2" max="2" width="40.57421875" style="35" customWidth="1"/>
    <col min="3" max="3" width="13.140625" style="35" customWidth="1"/>
    <col min="4" max="5" width="13.140625" style="35" bestFit="1" customWidth="1"/>
    <col min="6" max="6" width="15.42187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7109375" style="35" bestFit="1" customWidth="1" collapsed="1"/>
    <col min="14" max="14" width="14.7109375" style="35" customWidth="1"/>
    <col min="15" max="15" width="15.7109375" style="35" customWidth="1"/>
    <col min="16" max="16" width="11.00390625" style="35" customWidth="1"/>
    <col min="17" max="17" width="9.140625" style="35" customWidth="1"/>
    <col min="18" max="18" width="13.140625" style="35" bestFit="1" customWidth="1"/>
    <col min="19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9.7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3.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7" spans="1:6" s="67" customFormat="1" ht="16.5" customHeight="1">
      <c r="A7" s="67" t="s">
        <v>2</v>
      </c>
      <c r="F7" s="126" t="s">
        <v>57</v>
      </c>
    </row>
    <row r="8" spans="1:6" s="67" customFormat="1" ht="15">
      <c r="A8" s="67" t="s">
        <v>3</v>
      </c>
      <c r="F8" s="126" t="s">
        <v>337</v>
      </c>
    </row>
    <row r="9" s="67" customFormat="1" ht="12" customHeight="1"/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'[2]Багговута 12'!$G$36</f>
        <v>21747.41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'[2]Багговута 12'!$G$37</f>
        <v>-57919.93750000001</v>
      </c>
      <c r="H15" s="62"/>
      <c r="I15" s="62"/>
    </row>
    <row r="16" s="67" customFormat="1" ht="7.5" customHeight="1"/>
    <row r="17" spans="1:8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  <c r="H17" s="72"/>
    </row>
    <row r="18" spans="1:16" s="167" customFormat="1" ht="14.25">
      <c r="A18" s="75" t="s">
        <v>14</v>
      </c>
      <c r="B18" s="134" t="s">
        <v>15</v>
      </c>
      <c r="C18" s="135">
        <f>C19+C20+C21+C22</f>
        <v>9.879999999999999</v>
      </c>
      <c r="D18" s="76">
        <v>365801.92</v>
      </c>
      <c r="E18" s="76">
        <v>362440.16</v>
      </c>
      <c r="F18" s="76">
        <f aca="true" t="shared" si="0" ref="F18:F25">D18</f>
        <v>365801.92</v>
      </c>
      <c r="G18" s="77">
        <f aca="true" t="shared" si="1" ref="G18:G24">D18-E18</f>
        <v>3361.7600000000093</v>
      </c>
      <c r="H18" s="166">
        <f aca="true" t="shared" si="2" ref="H18:H23">C18</f>
        <v>9.879999999999999</v>
      </c>
      <c r="N18" s="166"/>
      <c r="O18" s="166"/>
      <c r="P18" s="166"/>
    </row>
    <row r="19" spans="1:9" s="67" customFormat="1" ht="15">
      <c r="A19" s="81" t="s">
        <v>16</v>
      </c>
      <c r="B19" s="139" t="s">
        <v>17</v>
      </c>
      <c r="C19" s="99">
        <v>3.46</v>
      </c>
      <c r="D19" s="83">
        <f>D18*I19</f>
        <v>128104.72097165992</v>
      </c>
      <c r="E19" s="83">
        <f>E18*I19</f>
        <v>126927.4244534413</v>
      </c>
      <c r="F19" s="83">
        <f t="shared" si="0"/>
        <v>128104.72097165992</v>
      </c>
      <c r="G19" s="84">
        <f t="shared" si="1"/>
        <v>1177.2965182186163</v>
      </c>
      <c r="H19" s="145">
        <f t="shared" si="2"/>
        <v>3.46</v>
      </c>
      <c r="I19" s="67">
        <f>H19/H18</f>
        <v>0.3502024291497976</v>
      </c>
    </row>
    <row r="20" spans="1:9" s="67" customFormat="1" ht="15">
      <c r="A20" s="81" t="s">
        <v>18</v>
      </c>
      <c r="B20" s="139" t="s">
        <v>19</v>
      </c>
      <c r="C20" s="99">
        <v>1.69</v>
      </c>
      <c r="D20" s="83">
        <f>D18*I20</f>
        <v>62571.38105263158</v>
      </c>
      <c r="E20" s="83">
        <f>E18*I20</f>
        <v>61996.343157894735</v>
      </c>
      <c r="F20" s="83">
        <f t="shared" si="0"/>
        <v>62571.38105263158</v>
      </c>
      <c r="G20" s="84">
        <f t="shared" si="1"/>
        <v>575.0378947368445</v>
      </c>
      <c r="H20" s="145">
        <f t="shared" si="2"/>
        <v>1.69</v>
      </c>
      <c r="I20" s="67">
        <f>H20/H18</f>
        <v>0.17105263157894737</v>
      </c>
    </row>
    <row r="21" spans="1:9" s="67" customFormat="1" ht="15">
      <c r="A21" s="81" t="s">
        <v>20</v>
      </c>
      <c r="B21" s="139" t="s">
        <v>21</v>
      </c>
      <c r="C21" s="99">
        <v>1.69</v>
      </c>
      <c r="D21" s="83">
        <f>D18*I21</f>
        <v>62571.38105263158</v>
      </c>
      <c r="E21" s="83">
        <f>E18*I21</f>
        <v>61996.343157894735</v>
      </c>
      <c r="F21" s="83">
        <f t="shared" si="0"/>
        <v>62571.38105263158</v>
      </c>
      <c r="G21" s="84">
        <f t="shared" si="1"/>
        <v>575.0378947368445</v>
      </c>
      <c r="H21" s="145">
        <f t="shared" si="2"/>
        <v>1.69</v>
      </c>
      <c r="I21" s="67">
        <f>H21/H18</f>
        <v>0.17105263157894737</v>
      </c>
    </row>
    <row r="22" spans="1:9" s="67" customFormat="1" ht="15">
      <c r="A22" s="81" t="s">
        <v>22</v>
      </c>
      <c r="B22" s="139" t="s">
        <v>23</v>
      </c>
      <c r="C22" s="99">
        <v>3.04</v>
      </c>
      <c r="D22" s="83">
        <f>D18*I22</f>
        <v>112554.43692307692</v>
      </c>
      <c r="E22" s="83">
        <f>E18*I22</f>
        <v>111520.04923076923</v>
      </c>
      <c r="F22" s="83">
        <f t="shared" si="0"/>
        <v>112554.43692307692</v>
      </c>
      <c r="G22" s="84">
        <f t="shared" si="1"/>
        <v>1034.3876923076896</v>
      </c>
      <c r="H22" s="145">
        <f t="shared" si="2"/>
        <v>3.04</v>
      </c>
      <c r="I22" s="67">
        <f>H22/H18</f>
        <v>0.3076923076923077</v>
      </c>
    </row>
    <row r="23" spans="1:8" s="67" customFormat="1" ht="15">
      <c r="A23" s="81" t="s">
        <v>25</v>
      </c>
      <c r="B23" s="86" t="s">
        <v>462</v>
      </c>
      <c r="C23" s="99">
        <v>130</v>
      </c>
      <c r="D23" s="83">
        <v>70200</v>
      </c>
      <c r="E23" s="83">
        <v>67063.04</v>
      </c>
      <c r="F23" s="83">
        <f>D23</f>
        <v>70200</v>
      </c>
      <c r="G23" s="84">
        <f t="shared" si="1"/>
        <v>3136.9600000000064</v>
      </c>
      <c r="H23" s="145">
        <f t="shared" si="2"/>
        <v>130</v>
      </c>
    </row>
    <row r="24" spans="1:7" s="39" customFormat="1" ht="15">
      <c r="A24" s="41" t="s">
        <v>27</v>
      </c>
      <c r="B24" s="140" t="s">
        <v>28</v>
      </c>
      <c r="C24" s="141">
        <v>0</v>
      </c>
      <c r="D24" s="77">
        <v>0</v>
      </c>
      <c r="E24" s="77">
        <v>0</v>
      </c>
      <c r="F24" s="83">
        <f>D24</f>
        <v>0</v>
      </c>
      <c r="G24" s="84">
        <f t="shared" si="1"/>
        <v>0</v>
      </c>
    </row>
    <row r="25" spans="1:7" s="39" customFormat="1" ht="14.25">
      <c r="A25" s="41" t="s">
        <v>29</v>
      </c>
      <c r="B25" s="140" t="s">
        <v>161</v>
      </c>
      <c r="C25" s="141" t="s">
        <v>297</v>
      </c>
      <c r="D25" s="77">
        <v>0</v>
      </c>
      <c r="E25" s="77">
        <v>0</v>
      </c>
      <c r="F25" s="77">
        <f t="shared" si="0"/>
        <v>0</v>
      </c>
      <c r="G25" s="77">
        <f aca="true" t="shared" si="3" ref="G25:G32">D25-E25</f>
        <v>0</v>
      </c>
    </row>
    <row r="26" spans="1:7" s="39" customFormat="1" ht="14.25">
      <c r="A26" s="41" t="s">
        <v>31</v>
      </c>
      <c r="B26" s="140" t="s">
        <v>116</v>
      </c>
      <c r="C26" s="141">
        <v>1.86</v>
      </c>
      <c r="D26" s="77">
        <v>62753.04</v>
      </c>
      <c r="E26" s="77">
        <v>62192.74</v>
      </c>
      <c r="F26" s="87">
        <f>F44</f>
        <v>456620.0274</v>
      </c>
      <c r="G26" s="77">
        <f t="shared" si="3"/>
        <v>560.3000000000029</v>
      </c>
    </row>
    <row r="27" spans="1:7" s="39" customFormat="1" ht="14.25">
      <c r="A27" s="41" t="s">
        <v>33</v>
      </c>
      <c r="B27" s="134" t="s">
        <v>34</v>
      </c>
      <c r="C27" s="135">
        <v>0</v>
      </c>
      <c r="D27" s="77"/>
      <c r="E27" s="77">
        <v>1.38</v>
      </c>
      <c r="F27" s="87">
        <f aca="true" t="shared" si="4" ref="F27:F32">D27</f>
        <v>0</v>
      </c>
      <c r="G27" s="77">
        <f t="shared" si="3"/>
        <v>-1.38</v>
      </c>
    </row>
    <row r="28" spans="1:7" s="39" customFormat="1" ht="14.25">
      <c r="A28" s="41" t="s">
        <v>35</v>
      </c>
      <c r="B28" s="134" t="s">
        <v>36</v>
      </c>
      <c r="C28" s="135"/>
      <c r="D28" s="77">
        <f>SUM(D29:D32)</f>
        <v>1448139.77</v>
      </c>
      <c r="E28" s="77">
        <f>SUM(E29:E32)</f>
        <v>1443743.65</v>
      </c>
      <c r="F28" s="77">
        <f>SUM(F29:F32)</f>
        <v>1448139.77</v>
      </c>
      <c r="G28" s="77">
        <f t="shared" si="3"/>
        <v>4396.120000000112</v>
      </c>
    </row>
    <row r="29" spans="1:7" s="39" customFormat="1" ht="15">
      <c r="A29" s="34" t="s">
        <v>37</v>
      </c>
      <c r="B29" s="34" t="s">
        <v>165</v>
      </c>
      <c r="C29" s="285">
        <v>6</v>
      </c>
      <c r="D29" s="287">
        <v>40417.41</v>
      </c>
      <c r="E29" s="287">
        <v>39945.57</v>
      </c>
      <c r="F29" s="289">
        <f t="shared" si="4"/>
        <v>40417.41</v>
      </c>
      <c r="G29" s="84">
        <f t="shared" si="3"/>
        <v>471.8400000000038</v>
      </c>
    </row>
    <row r="30" spans="1:7" ht="15">
      <c r="A30" s="34" t="s">
        <v>39</v>
      </c>
      <c r="B30" s="34" t="s">
        <v>137</v>
      </c>
      <c r="C30" s="285">
        <v>57.08</v>
      </c>
      <c r="D30" s="287">
        <v>454244.87</v>
      </c>
      <c r="E30" s="287">
        <v>454522.19</v>
      </c>
      <c r="F30" s="289">
        <f t="shared" si="4"/>
        <v>454244.87</v>
      </c>
      <c r="G30" s="84">
        <f t="shared" si="3"/>
        <v>-277.320000000007</v>
      </c>
    </row>
    <row r="31" spans="1:7" ht="15">
      <c r="A31" s="34" t="s">
        <v>42</v>
      </c>
      <c r="B31" s="139" t="s">
        <v>340</v>
      </c>
      <c r="C31" s="286">
        <v>0</v>
      </c>
      <c r="D31" s="287">
        <v>0</v>
      </c>
      <c r="E31" s="287">
        <v>0</v>
      </c>
      <c r="F31" s="289">
        <f t="shared" si="4"/>
        <v>0</v>
      </c>
      <c r="G31" s="84">
        <f t="shared" si="3"/>
        <v>0</v>
      </c>
    </row>
    <row r="32" spans="1:7" ht="15">
      <c r="A32" s="34" t="s">
        <v>41</v>
      </c>
      <c r="B32" s="34" t="s">
        <v>43</v>
      </c>
      <c r="C32" s="285">
        <v>2638.8</v>
      </c>
      <c r="D32" s="287">
        <v>953477.49</v>
      </c>
      <c r="E32" s="287">
        <v>949275.89</v>
      </c>
      <c r="F32" s="289">
        <f t="shared" si="4"/>
        <v>953477.49</v>
      </c>
      <c r="G32" s="84">
        <f t="shared" si="3"/>
        <v>4201.599999999977</v>
      </c>
    </row>
    <row r="33" spans="1:10" s="102" customFormat="1" ht="6" customHeight="1">
      <c r="A33" s="104"/>
      <c r="B33" s="104"/>
      <c r="C33" s="104"/>
      <c r="D33" s="101"/>
      <c r="E33" s="101"/>
      <c r="F33" s="101"/>
      <c r="G33" s="101"/>
      <c r="H33" s="101"/>
      <c r="I33" s="101"/>
      <c r="J33" s="101"/>
    </row>
    <row r="34" spans="1:10" s="102" customFormat="1" ht="18.75" customHeight="1" thickBot="1">
      <c r="A34" s="446" t="s">
        <v>294</v>
      </c>
      <c r="B34" s="447"/>
      <c r="C34" s="447"/>
      <c r="D34" s="448"/>
      <c r="E34" s="448"/>
      <c r="F34" s="448"/>
      <c r="G34" s="101"/>
      <c r="H34" s="101"/>
      <c r="I34" s="101"/>
      <c r="J34" s="101"/>
    </row>
    <row r="35" spans="1:9" s="67" customFormat="1" ht="15.75" thickBot="1">
      <c r="A35" s="455" t="s">
        <v>413</v>
      </c>
      <c r="B35" s="456"/>
      <c r="C35" s="456"/>
      <c r="D35" s="65">
        <v>572340.44</v>
      </c>
      <c r="E35" s="66"/>
      <c r="F35" s="66"/>
      <c r="G35" s="66"/>
      <c r="H35" s="62"/>
      <c r="I35" s="62"/>
    </row>
    <row r="36" spans="1:9" s="67" customFormat="1" ht="6" customHeight="1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414</v>
      </c>
      <c r="B37" s="64"/>
      <c r="C37" s="64"/>
      <c r="D37" s="69"/>
      <c r="E37" s="70"/>
      <c r="F37" s="70"/>
      <c r="G37" s="144">
        <f>G14+E27-F27</f>
        <v>21748.79</v>
      </c>
      <c r="H37" s="62"/>
      <c r="I37" s="62"/>
    </row>
    <row r="38" spans="1:13" s="67" customFormat="1" ht="15.75" thickBot="1">
      <c r="A38" s="63" t="s">
        <v>415</v>
      </c>
      <c r="B38" s="64"/>
      <c r="C38" s="64"/>
      <c r="D38" s="69"/>
      <c r="E38" s="70"/>
      <c r="F38" s="70"/>
      <c r="G38" s="144">
        <f>G15+E26-F26</f>
        <v>-452347.22490000003</v>
      </c>
      <c r="H38" s="62"/>
      <c r="I38" s="62"/>
      <c r="M38" s="145"/>
    </row>
    <row r="39" spans="1:9" s="67" customFormat="1" ht="15">
      <c r="A39" s="68"/>
      <c r="B39" s="68"/>
      <c r="C39" s="68"/>
      <c r="D39" s="40"/>
      <c r="E39" s="66"/>
      <c r="F39" s="66"/>
      <c r="G39" s="40"/>
      <c r="H39" s="62"/>
      <c r="I39" s="62"/>
    </row>
    <row r="40" spans="2:5" ht="9.75" customHeight="1">
      <c r="B40" s="154"/>
      <c r="C40" s="154"/>
      <c r="D40" s="154"/>
      <c r="E40" s="154"/>
    </row>
    <row r="41" spans="1:9" ht="26.25" customHeight="1">
      <c r="A41" s="444" t="s">
        <v>44</v>
      </c>
      <c r="B41" s="444"/>
      <c r="C41" s="444"/>
      <c r="D41" s="444"/>
      <c r="E41" s="444"/>
      <c r="F41" s="444"/>
      <c r="G41" s="444"/>
      <c r="H41" s="444"/>
      <c r="I41" s="444"/>
    </row>
    <row r="42" ht="7.5" customHeight="1"/>
    <row r="43" spans="1:7" s="171" customFormat="1" ht="28.5" customHeight="1">
      <c r="A43" s="105" t="s">
        <v>11</v>
      </c>
      <c r="B43" s="176" t="s">
        <v>45</v>
      </c>
      <c r="C43" s="177"/>
      <c r="D43" s="105" t="s">
        <v>163</v>
      </c>
      <c r="E43" s="105" t="s">
        <v>162</v>
      </c>
      <c r="F43" s="471" t="s">
        <v>46</v>
      </c>
      <c r="G43" s="483"/>
    </row>
    <row r="44" spans="1:7" s="114" customFormat="1" ht="13.5" customHeight="1">
      <c r="A44" s="109" t="s">
        <v>47</v>
      </c>
      <c r="B44" s="473" t="s">
        <v>111</v>
      </c>
      <c r="C44" s="491"/>
      <c r="D44" s="109"/>
      <c r="E44" s="109"/>
      <c r="F44" s="496">
        <f>SUM(F45:G50)</f>
        <v>456620.0274</v>
      </c>
      <c r="G44" s="483"/>
    </row>
    <row r="45" spans="1:7" ht="15">
      <c r="A45" s="34" t="s">
        <v>16</v>
      </c>
      <c r="B45" s="349" t="s">
        <v>546</v>
      </c>
      <c r="C45" s="350"/>
      <c r="D45" s="337" t="s">
        <v>227</v>
      </c>
      <c r="E45" s="337">
        <v>4.3</v>
      </c>
      <c r="F45" s="497">
        <v>406533.55</v>
      </c>
      <c r="G45" s="497"/>
    </row>
    <row r="46" spans="1:7" ht="17.25" customHeight="1">
      <c r="A46" s="34" t="s">
        <v>18</v>
      </c>
      <c r="B46" s="349" t="s">
        <v>547</v>
      </c>
      <c r="C46" s="350"/>
      <c r="D46" s="337" t="s">
        <v>217</v>
      </c>
      <c r="E46" s="337">
        <v>0.04</v>
      </c>
      <c r="F46" s="497">
        <v>10065.78</v>
      </c>
      <c r="G46" s="497"/>
    </row>
    <row r="47" spans="1:7" ht="15">
      <c r="A47" s="34" t="s">
        <v>20</v>
      </c>
      <c r="B47" s="376" t="s">
        <v>535</v>
      </c>
      <c r="C47" s="377"/>
      <c r="D47" s="337" t="s">
        <v>227</v>
      </c>
      <c r="E47" s="337">
        <v>0.08</v>
      </c>
      <c r="F47" s="497">
        <v>14360.57</v>
      </c>
      <c r="G47" s="497"/>
    </row>
    <row r="48" spans="1:7" ht="15">
      <c r="A48" s="34" t="s">
        <v>22</v>
      </c>
      <c r="B48" s="376" t="s">
        <v>548</v>
      </c>
      <c r="C48" s="377"/>
      <c r="D48" s="337" t="s">
        <v>217</v>
      </c>
      <c r="E48" s="341">
        <v>0.01</v>
      </c>
      <c r="F48" s="497">
        <v>13838.2</v>
      </c>
      <c r="G48" s="497"/>
    </row>
    <row r="49" spans="1:7" ht="15">
      <c r="A49" s="34" t="s">
        <v>24</v>
      </c>
      <c r="B49" s="148" t="s">
        <v>814</v>
      </c>
      <c r="C49" s="149"/>
      <c r="D49" s="118" t="s">
        <v>391</v>
      </c>
      <c r="E49" s="121">
        <v>4</v>
      </c>
      <c r="F49" s="495">
        <v>11200</v>
      </c>
      <c r="G49" s="495"/>
    </row>
    <row r="50" spans="1:7" ht="15">
      <c r="A50" s="34" t="s">
        <v>103</v>
      </c>
      <c r="B50" s="148" t="s">
        <v>188</v>
      </c>
      <c r="C50" s="149"/>
      <c r="D50" s="178"/>
      <c r="E50" s="178"/>
      <c r="F50" s="495">
        <f>E26*1%</f>
        <v>621.9274</v>
      </c>
      <c r="G50" s="495"/>
    </row>
    <row r="51" spans="1:7" ht="12.75" customHeight="1">
      <c r="A51" s="168"/>
      <c r="B51" s="179"/>
      <c r="C51" s="179"/>
      <c r="D51" s="179"/>
      <c r="E51" s="179"/>
      <c r="F51" s="180"/>
      <c r="G51" s="180"/>
    </row>
    <row r="52" spans="1:7" ht="12.75" customHeight="1">
      <c r="A52" s="168"/>
      <c r="B52" s="179"/>
      <c r="C52" s="179"/>
      <c r="D52" s="179"/>
      <c r="E52" s="179"/>
      <c r="F52" s="180"/>
      <c r="G52" s="180"/>
    </row>
    <row r="53" s="67" customFormat="1" ht="6.75" customHeight="1"/>
    <row r="54" spans="1:6" s="67" customFormat="1" ht="15">
      <c r="A54" s="67" t="s">
        <v>55</v>
      </c>
      <c r="C54" s="67" t="s">
        <v>49</v>
      </c>
      <c r="F54" s="67" t="s">
        <v>90</v>
      </c>
    </row>
    <row r="55" s="67" customFormat="1" ht="9" customHeight="1"/>
    <row r="56" s="67" customFormat="1" ht="13.5" customHeight="1">
      <c r="F56" s="126" t="s">
        <v>545</v>
      </c>
    </row>
    <row r="57" s="67" customFormat="1" ht="13.5" customHeight="1">
      <c r="A57" s="67" t="s">
        <v>50</v>
      </c>
    </row>
    <row r="58" spans="3:7" s="67" customFormat="1" ht="15">
      <c r="C58" s="128" t="s">
        <v>51</v>
      </c>
      <c r="E58" s="128"/>
      <c r="F58" s="128"/>
      <c r="G58" s="128"/>
    </row>
    <row r="59" s="67" customFormat="1" ht="15"/>
    <row r="60" s="67" customFormat="1" ht="15"/>
  </sheetData>
  <sheetProtection/>
  <mergeCells count="19">
    <mergeCell ref="A41:I41"/>
    <mergeCell ref="A11:I11"/>
    <mergeCell ref="A35:C35"/>
    <mergeCell ref="A1:I1"/>
    <mergeCell ref="A2:I2"/>
    <mergeCell ref="A5:I5"/>
    <mergeCell ref="A10:I10"/>
    <mergeCell ref="A3:K3"/>
    <mergeCell ref="A12:I12"/>
    <mergeCell ref="F43:G43"/>
    <mergeCell ref="A34:F34"/>
    <mergeCell ref="F50:G50"/>
    <mergeCell ref="F44:G44"/>
    <mergeCell ref="B44:C44"/>
    <mergeCell ref="F46:G46"/>
    <mergeCell ref="F47:G47"/>
    <mergeCell ref="F49:G49"/>
    <mergeCell ref="F48:G48"/>
    <mergeCell ref="F45:G4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FF00"/>
  </sheetPr>
  <dimension ref="A1:M59"/>
  <sheetViews>
    <sheetView zoomScalePageLayoutView="0" workbookViewId="0" topLeftCell="A44">
      <selection activeCell="F46" sqref="F46:G53"/>
    </sheetView>
  </sheetViews>
  <sheetFormatPr defaultColWidth="9.140625" defaultRowHeight="15" outlineLevelCol="1"/>
  <cols>
    <col min="1" max="1" width="5.00390625" style="35" customWidth="1"/>
    <col min="2" max="2" width="41.7109375" style="35" customWidth="1"/>
    <col min="3" max="3" width="12.8515625" style="35" customWidth="1"/>
    <col min="4" max="5" width="12.7109375" style="35" customWidth="1"/>
    <col min="6" max="6" width="15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7109375" style="35" bestFit="1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5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15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5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7" spans="1:6" s="67" customFormat="1" ht="15">
      <c r="A7" s="67" t="s">
        <v>2</v>
      </c>
      <c r="F7" s="126" t="s">
        <v>130</v>
      </c>
    </row>
    <row r="8" spans="1:11" s="67" customFormat="1" ht="15">
      <c r="A8" s="67" t="s">
        <v>3</v>
      </c>
      <c r="F8" s="291" t="s">
        <v>446</v>
      </c>
      <c r="I8" s="199">
        <f>64.6+63.9</f>
        <v>128.5</v>
      </c>
      <c r="J8" s="199">
        <f>3899.4+0.3</f>
        <v>3899.7000000000003</v>
      </c>
      <c r="K8" s="199">
        <f>I8+J8+I9</f>
        <v>4080.0000000000005</v>
      </c>
    </row>
    <row r="9" spans="2:9" s="67" customFormat="1" ht="15">
      <c r="B9" s="67" t="s">
        <v>507</v>
      </c>
      <c r="F9" s="291" t="s">
        <v>522</v>
      </c>
      <c r="I9" s="199">
        <v>51.8</v>
      </c>
    </row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10.5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65">
        <f>'[2]Пролетарская 135'!$G$36</f>
        <v>-105022.04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65">
        <f>'[2]Пролетарская 135'!$G$37</f>
        <v>-114231.46990000003</v>
      </c>
      <c r="H15" s="62"/>
      <c r="I15" s="62"/>
    </row>
    <row r="16" s="67" customFormat="1" ht="8.2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9" s="67" customFormat="1" ht="29.25">
      <c r="A18" s="75" t="s">
        <v>14</v>
      </c>
      <c r="B18" s="41" t="s">
        <v>15</v>
      </c>
      <c r="C18" s="214">
        <f>C19+C20+C21+C22+C23</f>
        <v>13.84</v>
      </c>
      <c r="D18" s="76">
        <v>679164.08</v>
      </c>
      <c r="E18" s="76">
        <v>660100.98</v>
      </c>
      <c r="F18" s="76">
        <f aca="true" t="shared" si="0" ref="F18:F25">D18</f>
        <v>679164.08</v>
      </c>
      <c r="G18" s="77">
        <f aca="true" t="shared" si="1" ref="G18:G23">D18-E18</f>
        <v>19063.099999999977</v>
      </c>
      <c r="H18" s="78">
        <f aca="true" t="shared" si="2" ref="H18:H23">C18</f>
        <v>13.84</v>
      </c>
      <c r="I18" s="167"/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169791.02</v>
      </c>
      <c r="E19" s="83">
        <f>E18*I19</f>
        <v>165025.245</v>
      </c>
      <c r="F19" s="83">
        <f t="shared" si="0"/>
        <v>169791.02</v>
      </c>
      <c r="G19" s="84">
        <f t="shared" si="1"/>
        <v>4765.774999999994</v>
      </c>
      <c r="H19" s="78">
        <f t="shared" si="2"/>
        <v>3.46</v>
      </c>
      <c r="I19" s="67">
        <f>H19/H18</f>
        <v>0.25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82932.60803468208</v>
      </c>
      <c r="E20" s="83">
        <f>E18*I20</f>
        <v>80604.81619942197</v>
      </c>
      <c r="F20" s="83">
        <f t="shared" si="0"/>
        <v>82932.60803468208</v>
      </c>
      <c r="G20" s="84">
        <f t="shared" si="1"/>
        <v>2327.791835260112</v>
      </c>
      <c r="H20" s="78">
        <f t="shared" si="2"/>
        <v>1.69</v>
      </c>
      <c r="I20" s="67">
        <f>H20/H18</f>
        <v>0.12210982658959538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105505.98063583815</v>
      </c>
      <c r="E21" s="83">
        <f>E18*I21</f>
        <v>102544.58865606936</v>
      </c>
      <c r="F21" s="83">
        <f t="shared" si="0"/>
        <v>105505.98063583815</v>
      </c>
      <c r="G21" s="84">
        <f t="shared" si="1"/>
        <v>2961.391979768785</v>
      </c>
      <c r="H21" s="78">
        <f t="shared" si="2"/>
        <v>2.15</v>
      </c>
      <c r="I21" s="67">
        <f>H21/H18</f>
        <v>0.15534682080924855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149180.54936416185</v>
      </c>
      <c r="E22" s="83">
        <f>E18*I22</f>
        <v>144993.27884393063</v>
      </c>
      <c r="F22" s="83">
        <f t="shared" si="0"/>
        <v>149180.54936416185</v>
      </c>
      <c r="G22" s="84">
        <f t="shared" si="1"/>
        <v>4187.270520231221</v>
      </c>
      <c r="H22" s="78">
        <f t="shared" si="2"/>
        <v>3.04</v>
      </c>
      <c r="I22" s="67">
        <f>H22/H18</f>
        <v>0.21965317919075145</v>
      </c>
    </row>
    <row r="23" spans="1:9" s="67" customFormat="1" ht="15">
      <c r="A23" s="81" t="s">
        <v>24</v>
      </c>
      <c r="B23" s="34" t="s">
        <v>180</v>
      </c>
      <c r="C23" s="99">
        <v>3.5</v>
      </c>
      <c r="D23" s="83">
        <f>I23*D18</f>
        <v>171753.92196531792</v>
      </c>
      <c r="E23" s="83">
        <f>I23*E18</f>
        <v>166933.05130057805</v>
      </c>
      <c r="F23" s="83">
        <f>D23</f>
        <v>171753.92196531792</v>
      </c>
      <c r="G23" s="84">
        <f t="shared" si="1"/>
        <v>4820.870664739865</v>
      </c>
      <c r="H23" s="78">
        <f t="shared" si="2"/>
        <v>3.5</v>
      </c>
      <c r="I23" s="67">
        <f>H23/H18</f>
        <v>0.25289017341040465</v>
      </c>
    </row>
    <row r="24" spans="1:9" ht="15">
      <c r="A24" s="41" t="s">
        <v>25</v>
      </c>
      <c r="B24" s="41" t="s">
        <v>26</v>
      </c>
      <c r="C24" s="141">
        <v>3.86</v>
      </c>
      <c r="D24" s="77">
        <v>180631.08</v>
      </c>
      <c r="E24" s="77">
        <v>176330.25</v>
      </c>
      <c r="F24" s="76">
        <f t="shared" si="0"/>
        <v>180631.08</v>
      </c>
      <c r="G24" s="77">
        <f aca="true" t="shared" si="3" ref="G24:G33">D24-E24</f>
        <v>4300.829999999987</v>
      </c>
      <c r="H24" s="39"/>
      <c r="I24" s="39"/>
    </row>
    <row r="25" spans="1:9" ht="15">
      <c r="A25" s="41" t="s">
        <v>27</v>
      </c>
      <c r="B25" s="41" t="s">
        <v>254</v>
      </c>
      <c r="C25" s="141">
        <v>0</v>
      </c>
      <c r="D25" s="77">
        <v>0</v>
      </c>
      <c r="E25" s="77">
        <v>683.89</v>
      </c>
      <c r="F25" s="77">
        <f t="shared" si="0"/>
        <v>0</v>
      </c>
      <c r="G25" s="77">
        <f t="shared" si="3"/>
        <v>-683.89</v>
      </c>
      <c r="H25" s="39"/>
      <c r="I25" s="39"/>
    </row>
    <row r="26" spans="1:9" ht="15">
      <c r="A26" s="41" t="s">
        <v>29</v>
      </c>
      <c r="B26" s="41" t="s">
        <v>170</v>
      </c>
      <c r="C26" s="141">
        <v>0</v>
      </c>
      <c r="D26" s="77">
        <v>0</v>
      </c>
      <c r="E26" s="77">
        <v>71.8</v>
      </c>
      <c r="F26" s="77">
        <v>0</v>
      </c>
      <c r="G26" s="77">
        <f t="shared" si="3"/>
        <v>-71.8</v>
      </c>
      <c r="H26" s="39"/>
      <c r="I26" s="39"/>
    </row>
    <row r="27" spans="1:13" ht="15">
      <c r="A27" s="41" t="s">
        <v>31</v>
      </c>
      <c r="B27" s="41" t="s">
        <v>116</v>
      </c>
      <c r="C27" s="141">
        <v>2.06</v>
      </c>
      <c r="D27" s="77">
        <v>99064.02</v>
      </c>
      <c r="E27" s="77">
        <v>95938.84</v>
      </c>
      <c r="F27" s="87">
        <f>F45</f>
        <v>300585.7684</v>
      </c>
      <c r="G27" s="77">
        <f t="shared" si="3"/>
        <v>3125.1800000000076</v>
      </c>
      <c r="H27" s="39"/>
      <c r="I27" s="39"/>
      <c r="M27" s="159"/>
    </row>
    <row r="28" spans="1:9" ht="15">
      <c r="A28" s="211">
        <v>6</v>
      </c>
      <c r="B28" s="86" t="s">
        <v>161</v>
      </c>
      <c r="C28" s="142" t="s">
        <v>297</v>
      </c>
      <c r="D28" s="77">
        <v>0</v>
      </c>
      <c r="E28" s="77">
        <v>0</v>
      </c>
      <c r="F28" s="87">
        <f>D28</f>
        <v>0</v>
      </c>
      <c r="G28" s="77">
        <f t="shared" si="3"/>
        <v>0</v>
      </c>
      <c r="H28" s="39"/>
      <c r="I28" s="39"/>
    </row>
    <row r="29" spans="1:9" ht="15">
      <c r="A29" s="211">
        <f>A28+1</f>
        <v>7</v>
      </c>
      <c r="B29" s="41" t="s">
        <v>36</v>
      </c>
      <c r="C29" s="142"/>
      <c r="D29" s="77">
        <f>SUM(D30:D33)</f>
        <v>2279293.1</v>
      </c>
      <c r="E29" s="77">
        <f>SUM(E30:E33)</f>
        <v>2190139.64</v>
      </c>
      <c r="F29" s="77">
        <f>SUM(F30:F33)</f>
        <v>2279293.1</v>
      </c>
      <c r="G29" s="77">
        <f t="shared" si="3"/>
        <v>89153.45999999996</v>
      </c>
      <c r="H29" s="39"/>
      <c r="I29" s="39"/>
    </row>
    <row r="30" spans="1:7" ht="15">
      <c r="A30" s="212" t="s">
        <v>37</v>
      </c>
      <c r="B30" s="34" t="s">
        <v>93</v>
      </c>
      <c r="C30" s="285">
        <v>6</v>
      </c>
      <c r="D30" s="84">
        <v>98452.36</v>
      </c>
      <c r="E30" s="84">
        <v>97137.14</v>
      </c>
      <c r="F30" s="84">
        <f>D30</f>
        <v>98452.36</v>
      </c>
      <c r="G30" s="84">
        <f t="shared" si="3"/>
        <v>1315.2200000000012</v>
      </c>
    </row>
    <row r="31" spans="1:7" ht="15">
      <c r="A31" s="212" t="s">
        <v>39</v>
      </c>
      <c r="B31" s="34" t="s">
        <v>137</v>
      </c>
      <c r="C31" s="285">
        <v>57.08</v>
      </c>
      <c r="D31" s="84">
        <v>341953.89</v>
      </c>
      <c r="E31" s="84">
        <v>323780.33</v>
      </c>
      <c r="F31" s="84">
        <f>D31</f>
        <v>341953.89</v>
      </c>
      <c r="G31" s="84">
        <f t="shared" si="3"/>
        <v>18173.559999999998</v>
      </c>
    </row>
    <row r="32" spans="1:7" ht="15">
      <c r="A32" s="212" t="s">
        <v>42</v>
      </c>
      <c r="B32" s="34" t="s">
        <v>340</v>
      </c>
      <c r="C32" s="286">
        <v>211.65</v>
      </c>
      <c r="D32" s="84">
        <v>529107.61</v>
      </c>
      <c r="E32" s="84">
        <v>492712.18</v>
      </c>
      <c r="F32" s="84">
        <f>D32</f>
        <v>529107.61</v>
      </c>
      <c r="G32" s="84">
        <f t="shared" si="3"/>
        <v>36395.42999999999</v>
      </c>
    </row>
    <row r="33" spans="1:7" ht="15">
      <c r="A33" s="212" t="s">
        <v>41</v>
      </c>
      <c r="B33" s="34" t="s">
        <v>43</v>
      </c>
      <c r="C33" s="285">
        <v>2638.8</v>
      </c>
      <c r="D33" s="84">
        <v>1309779.24</v>
      </c>
      <c r="E33" s="84">
        <v>1276509.99</v>
      </c>
      <c r="F33" s="84">
        <f>D33</f>
        <v>1309779.24</v>
      </c>
      <c r="G33" s="84">
        <f t="shared" si="3"/>
        <v>33269.25</v>
      </c>
    </row>
    <row r="34" spans="1:7" ht="15.75" thickBot="1">
      <c r="A34" s="446" t="s">
        <v>294</v>
      </c>
      <c r="B34" s="447"/>
      <c r="C34" s="447"/>
      <c r="D34" s="448"/>
      <c r="E34" s="448"/>
      <c r="F34" s="448"/>
      <c r="G34" s="170"/>
    </row>
    <row r="35" spans="1:10" s="102" customFormat="1" ht="14.25" thickBot="1">
      <c r="A35" s="455" t="s">
        <v>413</v>
      </c>
      <c r="B35" s="456"/>
      <c r="C35" s="456"/>
      <c r="D35" s="65">
        <v>1954959.56</v>
      </c>
      <c r="E35" s="66"/>
      <c r="F35" s="66"/>
      <c r="G35" s="66"/>
      <c r="H35" s="62"/>
      <c r="I35" s="62"/>
      <c r="J35" s="101"/>
    </row>
    <row r="36" spans="1:9" s="67" customFormat="1" ht="10.5" customHeight="1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414</v>
      </c>
      <c r="B37" s="64"/>
      <c r="C37" s="64"/>
      <c r="D37" s="69"/>
      <c r="E37" s="70"/>
      <c r="F37" s="70"/>
      <c r="G37" s="144">
        <f>G14</f>
        <v>-105022.04</v>
      </c>
      <c r="H37" s="62"/>
      <c r="I37" s="62"/>
    </row>
    <row r="38" spans="1:9" s="67" customFormat="1" ht="15.75" thickBot="1">
      <c r="A38" s="63" t="s">
        <v>415</v>
      </c>
      <c r="B38" s="64"/>
      <c r="C38" s="64"/>
      <c r="D38" s="69"/>
      <c r="E38" s="70"/>
      <c r="F38" s="70"/>
      <c r="G38" s="144">
        <f>G15+E27-F27</f>
        <v>-318878.3983</v>
      </c>
      <c r="H38" s="62"/>
      <c r="I38" s="62"/>
    </row>
    <row r="39" spans="1:9" s="67" customFormat="1" ht="15">
      <c r="A39" s="585" t="s">
        <v>322</v>
      </c>
      <c r="B39" s="586"/>
      <c r="C39" s="318"/>
      <c r="D39" s="318"/>
      <c r="E39" s="319"/>
      <c r="F39" s="319"/>
      <c r="G39" s="319"/>
      <c r="H39" s="62"/>
      <c r="I39" s="62"/>
    </row>
    <row r="40" spans="1:9" s="67" customFormat="1" ht="15">
      <c r="A40" s="517" t="s">
        <v>145</v>
      </c>
      <c r="B40" s="518"/>
      <c r="C40" s="311" t="s">
        <v>146</v>
      </c>
      <c r="D40" s="311" t="s">
        <v>147</v>
      </c>
      <c r="E40" s="312" t="s">
        <v>148</v>
      </c>
      <c r="F40" s="313" t="s">
        <v>149</v>
      </c>
      <c r="G40" s="312" t="s">
        <v>150</v>
      </c>
      <c r="H40" s="62"/>
      <c r="I40" s="62"/>
    </row>
    <row r="41" spans="1:9" s="67" customFormat="1" ht="15">
      <c r="A41" s="519"/>
      <c r="B41" s="520"/>
      <c r="C41" s="294">
        <v>51.8</v>
      </c>
      <c r="D41" s="314">
        <f>E41/C41/12</f>
        <v>23.050563063063063</v>
      </c>
      <c r="E41" s="316">
        <f>7140.45+7187.78</f>
        <v>14328.23</v>
      </c>
      <c r="F41" s="316">
        <f>7140.45+7187.78</f>
        <v>14328.23</v>
      </c>
      <c r="G41" s="314">
        <f>E41-F41</f>
        <v>0</v>
      </c>
      <c r="H41" s="62"/>
      <c r="I41" s="298">
        <v>51.8</v>
      </c>
    </row>
    <row r="42" spans="1:9" s="67" customFormat="1" ht="30" customHeight="1">
      <c r="A42" s="537" t="s">
        <v>44</v>
      </c>
      <c r="B42" s="537"/>
      <c r="C42" s="537"/>
      <c r="D42" s="537"/>
      <c r="E42" s="537"/>
      <c r="F42" s="537"/>
      <c r="G42" s="537"/>
      <c r="H42" s="537"/>
      <c r="I42" s="537"/>
    </row>
    <row r="43" ht="10.5" customHeight="1"/>
    <row r="44" spans="1:9" ht="28.5">
      <c r="A44" s="105" t="s">
        <v>11</v>
      </c>
      <c r="B44" s="471" t="s">
        <v>45</v>
      </c>
      <c r="C44" s="484"/>
      <c r="D44" s="105" t="s">
        <v>163</v>
      </c>
      <c r="E44" s="105" t="s">
        <v>162</v>
      </c>
      <c r="F44" s="471" t="s">
        <v>46</v>
      </c>
      <c r="G44" s="484"/>
      <c r="H44" s="171"/>
      <c r="I44" s="171"/>
    </row>
    <row r="45" spans="1:9" s="171" customFormat="1" ht="15">
      <c r="A45" s="109" t="s">
        <v>47</v>
      </c>
      <c r="B45" s="473" t="s">
        <v>111</v>
      </c>
      <c r="C45" s="491"/>
      <c r="D45" s="110"/>
      <c r="E45" s="110"/>
      <c r="F45" s="496">
        <f>SUM(F46:L53)</f>
        <v>300585.7684</v>
      </c>
      <c r="G45" s="483"/>
      <c r="H45" s="114"/>
      <c r="I45" s="114"/>
    </row>
    <row r="46" spans="1:9" s="114" customFormat="1" ht="15" customHeight="1">
      <c r="A46" s="34" t="s">
        <v>16</v>
      </c>
      <c r="B46" s="462" t="s">
        <v>400</v>
      </c>
      <c r="C46" s="489"/>
      <c r="D46" s="403" t="s">
        <v>216</v>
      </c>
      <c r="E46" s="403">
        <v>0.02</v>
      </c>
      <c r="F46" s="525">
        <v>29803.98</v>
      </c>
      <c r="G46" s="526"/>
      <c r="H46" s="35"/>
      <c r="I46" s="35"/>
    </row>
    <row r="47" spans="1:7" ht="24" customHeight="1">
      <c r="A47" s="34" t="s">
        <v>18</v>
      </c>
      <c r="B47" s="462" t="s">
        <v>326</v>
      </c>
      <c r="C47" s="489"/>
      <c r="D47" s="403"/>
      <c r="E47" s="403" t="s">
        <v>221</v>
      </c>
      <c r="F47" s="497">
        <v>110</v>
      </c>
      <c r="G47" s="497"/>
    </row>
    <row r="48" spans="1:7" ht="15" customHeight="1">
      <c r="A48" s="34" t="s">
        <v>20</v>
      </c>
      <c r="B48" s="462" t="s">
        <v>619</v>
      </c>
      <c r="C48" s="489"/>
      <c r="D48" s="403" t="s">
        <v>164</v>
      </c>
      <c r="E48" s="405">
        <v>1</v>
      </c>
      <c r="F48" s="497">
        <v>103472.4</v>
      </c>
      <c r="G48" s="497"/>
    </row>
    <row r="49" spans="1:7" ht="15" customHeight="1">
      <c r="A49" s="34" t="s">
        <v>22</v>
      </c>
      <c r="B49" s="462" t="s">
        <v>538</v>
      </c>
      <c r="C49" s="489"/>
      <c r="D49" s="403" t="s">
        <v>164</v>
      </c>
      <c r="E49" s="405">
        <v>1</v>
      </c>
      <c r="F49" s="497">
        <v>71040</v>
      </c>
      <c r="G49" s="497"/>
    </row>
    <row r="50" spans="1:7" ht="15" customHeight="1">
      <c r="A50" s="34" t="s">
        <v>24</v>
      </c>
      <c r="B50" s="462" t="s">
        <v>404</v>
      </c>
      <c r="C50" s="489"/>
      <c r="D50" s="403" t="s">
        <v>391</v>
      </c>
      <c r="E50" s="405">
        <v>8</v>
      </c>
      <c r="F50" s="497">
        <v>16000</v>
      </c>
      <c r="G50" s="497"/>
    </row>
    <row r="51" spans="1:7" ht="13.5" customHeight="1">
      <c r="A51" s="34" t="s">
        <v>103</v>
      </c>
      <c r="B51" s="462" t="s">
        <v>554</v>
      </c>
      <c r="C51" s="498"/>
      <c r="D51" s="118"/>
      <c r="E51" s="152"/>
      <c r="F51" s="482">
        <v>68000</v>
      </c>
      <c r="G51" s="482"/>
    </row>
    <row r="52" spans="1:7" ht="13.5" customHeight="1">
      <c r="A52" s="34" t="s">
        <v>104</v>
      </c>
      <c r="B52" s="449" t="s">
        <v>814</v>
      </c>
      <c r="C52" s="641"/>
      <c r="D52" s="118" t="s">
        <v>391</v>
      </c>
      <c r="E52" s="152">
        <v>4</v>
      </c>
      <c r="F52" s="490">
        <v>11200</v>
      </c>
      <c r="G52" s="490"/>
    </row>
    <row r="53" spans="1:7" s="67" customFormat="1" ht="15">
      <c r="A53" s="34" t="s">
        <v>104</v>
      </c>
      <c r="B53" s="148" t="s">
        <v>188</v>
      </c>
      <c r="C53" s="149"/>
      <c r="D53" s="118"/>
      <c r="E53" s="118"/>
      <c r="F53" s="495">
        <f>E27*1%</f>
        <v>959.3883999999999</v>
      </c>
      <c r="G53" s="495"/>
    </row>
    <row r="54" spans="8:9" s="67" customFormat="1" ht="15">
      <c r="H54" s="35"/>
      <c r="I54" s="35"/>
    </row>
    <row r="55" spans="1:9" s="67" customFormat="1" ht="15">
      <c r="A55" s="67" t="s">
        <v>55</v>
      </c>
      <c r="C55" s="67" t="s">
        <v>49</v>
      </c>
      <c r="F55" s="67" t="s">
        <v>90</v>
      </c>
      <c r="H55" s="35"/>
      <c r="I55" s="35"/>
    </row>
    <row r="56" spans="6:9" s="67" customFormat="1" ht="15">
      <c r="F56" s="126" t="s">
        <v>343</v>
      </c>
      <c r="H56" s="35"/>
      <c r="I56" s="35"/>
    </row>
    <row r="57" spans="1:7" ht="15">
      <c r="A57" s="67" t="s">
        <v>50</v>
      </c>
      <c r="B57" s="67"/>
      <c r="C57" s="67"/>
      <c r="D57" s="67"/>
      <c r="E57" s="67"/>
      <c r="F57" s="67"/>
      <c r="G57" s="67"/>
    </row>
    <row r="58" spans="1:7" ht="15">
      <c r="A58" s="67"/>
      <c r="B58" s="67"/>
      <c r="C58" s="128" t="s">
        <v>51</v>
      </c>
      <c r="D58" s="67"/>
      <c r="E58" s="128"/>
      <c r="F58" s="128"/>
      <c r="G58" s="128"/>
    </row>
    <row r="59" spans="1:9" ht="15">
      <c r="A59" s="67"/>
      <c r="B59" s="67"/>
      <c r="C59" s="67"/>
      <c r="D59" s="67"/>
      <c r="E59" s="67"/>
      <c r="F59" s="67"/>
      <c r="G59" s="67"/>
      <c r="H59" s="67"/>
      <c r="I59" s="67"/>
    </row>
  </sheetData>
  <sheetProtection/>
  <mergeCells count="31">
    <mergeCell ref="F52:G52"/>
    <mergeCell ref="B52:C52"/>
    <mergeCell ref="B44:C44"/>
    <mergeCell ref="F44:G44"/>
    <mergeCell ref="A1:I1"/>
    <mergeCell ref="A2:I2"/>
    <mergeCell ref="A3:K3"/>
    <mergeCell ref="A5:I5"/>
    <mergeCell ref="A10:I10"/>
    <mergeCell ref="A34:F34"/>
    <mergeCell ref="A11:I11"/>
    <mergeCell ref="B47:C47"/>
    <mergeCell ref="F49:G49"/>
    <mergeCell ref="A39:B39"/>
    <mergeCell ref="A40:B41"/>
    <mergeCell ref="A12:I12"/>
    <mergeCell ref="B46:C46"/>
    <mergeCell ref="F46:G46"/>
    <mergeCell ref="B45:C45"/>
    <mergeCell ref="A35:C35"/>
    <mergeCell ref="A42:I42"/>
    <mergeCell ref="F50:G50"/>
    <mergeCell ref="B50:C50"/>
    <mergeCell ref="F53:G53"/>
    <mergeCell ref="F47:G47"/>
    <mergeCell ref="F45:G45"/>
    <mergeCell ref="B48:C48"/>
    <mergeCell ref="B51:C51"/>
    <mergeCell ref="F51:G51"/>
    <mergeCell ref="F48:G48"/>
    <mergeCell ref="B49:C49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7030A0"/>
  </sheetPr>
  <dimension ref="A1:S65"/>
  <sheetViews>
    <sheetView zoomScalePageLayoutView="0" workbookViewId="0" topLeftCell="A55">
      <selection activeCell="A60" sqref="A60"/>
    </sheetView>
  </sheetViews>
  <sheetFormatPr defaultColWidth="9.140625" defaultRowHeight="15" outlineLevelCol="3"/>
  <cols>
    <col min="1" max="1" width="5.00390625" style="35" customWidth="1"/>
    <col min="2" max="2" width="46.140625" style="35" customWidth="1"/>
    <col min="3" max="3" width="13.421875" style="35" customWidth="1"/>
    <col min="4" max="4" width="15.140625" style="35" customWidth="1"/>
    <col min="5" max="5" width="14.57421875" style="35" customWidth="1"/>
    <col min="6" max="6" width="15.00390625" style="35" customWidth="1"/>
    <col min="7" max="7" width="13.421875" style="35" customWidth="1"/>
    <col min="8" max="8" width="13.421875" style="35" hidden="1" customWidth="1" outlineLevel="1"/>
    <col min="9" max="9" width="13.421875" style="35" hidden="1" customWidth="1" outlineLevel="2"/>
    <col min="10" max="10" width="10.8515625" style="35" hidden="1" customWidth="1" outlineLevel="3"/>
    <col min="11" max="11" width="13.421875" style="35" hidden="1" customWidth="1" outlineLevel="2" collapsed="1"/>
    <col min="12" max="12" width="14.28125" style="35" bestFit="1" customWidth="1" collapsed="1"/>
    <col min="13" max="13" width="12.00390625" style="35" customWidth="1"/>
    <col min="14" max="14" width="10.140625" style="35" bestFit="1" customWidth="1"/>
    <col min="15" max="15" width="11.421875" style="35" bestFit="1" customWidth="1"/>
    <col min="16" max="17" width="11.57421875" style="35" bestFit="1" customWidth="1"/>
    <col min="18" max="18" width="10.421875" style="35" bestFit="1" customWidth="1"/>
    <col min="19" max="19" width="11.421875" style="35" bestFit="1" customWidth="1"/>
    <col min="20" max="16384" width="9.140625" style="35" customWidth="1"/>
  </cols>
  <sheetData>
    <row r="1" spans="1:11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</row>
    <row r="2" spans="1:11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</row>
    <row r="3" spans="1:11" ht="15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1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1:11" ht="15">
      <c r="A5" s="476" t="s">
        <v>1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</row>
    <row r="7" spans="1:10" s="67" customFormat="1" ht="15">
      <c r="A7" s="67" t="s">
        <v>2</v>
      </c>
      <c r="F7" s="126" t="s">
        <v>133</v>
      </c>
      <c r="H7" s="399">
        <v>488.2</v>
      </c>
      <c r="J7" s="67" t="s">
        <v>273</v>
      </c>
    </row>
    <row r="8" spans="1:11" s="67" customFormat="1" ht="15">
      <c r="A8" s="67" t="s">
        <v>3</v>
      </c>
      <c r="F8" s="291" t="s">
        <v>622</v>
      </c>
      <c r="H8" s="399">
        <v>967.3</v>
      </c>
      <c r="I8" s="199">
        <f>8702.4-H7-H8</f>
        <v>7246.899999999999</v>
      </c>
      <c r="J8" s="199">
        <f>110.9+125.4+251.9</f>
        <v>488.20000000000005</v>
      </c>
      <c r="K8" s="199">
        <f>I8+J8+H8</f>
        <v>8702.399999999998</v>
      </c>
    </row>
    <row r="9" spans="2:11" s="67" customFormat="1" ht="15">
      <c r="B9" s="67" t="s">
        <v>620</v>
      </c>
      <c r="F9" s="400" t="s">
        <v>621</v>
      </c>
      <c r="H9" s="125"/>
      <c r="I9" s="125"/>
      <c r="J9" s="125"/>
      <c r="K9" s="125"/>
    </row>
    <row r="10" spans="1:11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11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</row>
    <row r="13" spans="1:11" s="67" customFormat="1" ht="10.5" customHeight="1" thickBot="1">
      <c r="A13" s="68"/>
      <c r="B13" s="68"/>
      <c r="C13" s="68"/>
      <c r="D13" s="40"/>
      <c r="E13" s="66"/>
      <c r="F13" s="66"/>
      <c r="G13" s="66"/>
      <c r="H13" s="66"/>
      <c r="I13" s="66"/>
      <c r="J13" s="62"/>
      <c r="K13" s="62"/>
    </row>
    <row r="14" spans="1:11" s="67" customFormat="1" ht="15.75" thickBot="1">
      <c r="A14" s="63" t="s">
        <v>336</v>
      </c>
      <c r="B14" s="64"/>
      <c r="C14" s="64"/>
      <c r="D14" s="69"/>
      <c r="E14" s="70"/>
      <c r="F14" s="70"/>
      <c r="G14" s="65">
        <f>'[2]Молодежная 41'!$G$38</f>
        <v>218475.6870999998</v>
      </c>
      <c r="H14" s="216"/>
      <c r="I14" s="216"/>
      <c r="J14" s="62"/>
      <c r="K14" s="62"/>
    </row>
    <row r="15" s="67" customFormat="1" ht="15"/>
    <row r="16" spans="1:9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  <c r="H16" s="108"/>
      <c r="I16" s="108"/>
    </row>
    <row r="17" spans="1:10" s="167" customFormat="1" ht="28.5">
      <c r="A17" s="75" t="s">
        <v>14</v>
      </c>
      <c r="B17" s="41" t="s">
        <v>15</v>
      </c>
      <c r="C17" s="97">
        <f>SUM(C18:C21)</f>
        <v>10.18</v>
      </c>
      <c r="D17" s="76">
        <v>957468.31</v>
      </c>
      <c r="E17" s="76">
        <v>941065.7</v>
      </c>
      <c r="F17" s="76">
        <f>D17</f>
        <v>957468.31</v>
      </c>
      <c r="G17" s="77">
        <f>D17-E17</f>
        <v>16402.610000000102</v>
      </c>
      <c r="H17" s="217"/>
      <c r="I17" s="217"/>
      <c r="J17" s="78">
        <f>C17</f>
        <v>10.18</v>
      </c>
    </row>
    <row r="18" spans="1:11" s="67" customFormat="1" ht="15">
      <c r="A18" s="81" t="s">
        <v>16</v>
      </c>
      <c r="B18" s="34" t="s">
        <v>17</v>
      </c>
      <c r="C18" s="99">
        <v>3.46</v>
      </c>
      <c r="D18" s="83">
        <f>D17*K18</f>
        <v>325426.36076620826</v>
      </c>
      <c r="E18" s="83">
        <f>E17*K18</f>
        <v>319851.4068762279</v>
      </c>
      <c r="F18" s="83">
        <f aca="true" t="shared" si="0" ref="F18:F23">D18</f>
        <v>325426.36076620826</v>
      </c>
      <c r="G18" s="84">
        <f>D18-E18</f>
        <v>5574.953889980388</v>
      </c>
      <c r="H18" s="170"/>
      <c r="I18" s="170"/>
      <c r="J18" s="78">
        <f>C18</f>
        <v>3.46</v>
      </c>
      <c r="K18" s="67">
        <f>J18/J17</f>
        <v>0.33988212180746563</v>
      </c>
    </row>
    <row r="19" spans="1:11" s="67" customFormat="1" ht="15">
      <c r="A19" s="81" t="s">
        <v>18</v>
      </c>
      <c r="B19" s="34" t="s">
        <v>19</v>
      </c>
      <c r="C19" s="99">
        <v>1.69</v>
      </c>
      <c r="D19" s="83">
        <f>D17*K19</f>
        <v>158951.02592337917</v>
      </c>
      <c r="E19" s="83">
        <f>E17*K19</f>
        <v>156227.99931237721</v>
      </c>
      <c r="F19" s="83">
        <f t="shared" si="0"/>
        <v>158951.02592337917</v>
      </c>
      <c r="G19" s="84">
        <f>D19-E19</f>
        <v>2723.0266110019584</v>
      </c>
      <c r="H19" s="170"/>
      <c r="I19" s="170"/>
      <c r="J19" s="78">
        <f>C19</f>
        <v>1.69</v>
      </c>
      <c r="K19" s="67">
        <f>J19/J17</f>
        <v>0.16601178781925344</v>
      </c>
    </row>
    <row r="20" spans="1:11" s="67" customFormat="1" ht="15">
      <c r="A20" s="81" t="s">
        <v>20</v>
      </c>
      <c r="B20" s="34" t="s">
        <v>21</v>
      </c>
      <c r="C20" s="99">
        <v>1.99</v>
      </c>
      <c r="D20" s="83">
        <f>D17*K20</f>
        <v>187167.1843713163</v>
      </c>
      <c r="E20" s="83">
        <f>E17*K20</f>
        <v>183960.78025540273</v>
      </c>
      <c r="F20" s="83">
        <f t="shared" si="0"/>
        <v>187167.1843713163</v>
      </c>
      <c r="G20" s="84">
        <f>D20-E20</f>
        <v>3206.4041159135813</v>
      </c>
      <c r="H20" s="170"/>
      <c r="I20" s="170"/>
      <c r="J20" s="78">
        <f>C20</f>
        <v>1.99</v>
      </c>
      <c r="K20" s="67">
        <f>J20/J17</f>
        <v>0.19548133595284872</v>
      </c>
    </row>
    <row r="21" spans="1:11" s="67" customFormat="1" ht="15">
      <c r="A21" s="81" t="s">
        <v>22</v>
      </c>
      <c r="B21" s="34" t="s">
        <v>23</v>
      </c>
      <c r="C21" s="99">
        <v>3.04</v>
      </c>
      <c r="D21" s="83">
        <f>D17*K21</f>
        <v>285923.7389390963</v>
      </c>
      <c r="E21" s="83">
        <f>E17*K21</f>
        <v>281025.51355599216</v>
      </c>
      <c r="F21" s="83">
        <f t="shared" si="0"/>
        <v>285923.7389390963</v>
      </c>
      <c r="G21" s="84">
        <f>D21-E21</f>
        <v>4898.225383104116</v>
      </c>
      <c r="H21" s="170"/>
      <c r="I21" s="170"/>
      <c r="J21" s="78">
        <f>C21</f>
        <v>3.04</v>
      </c>
      <c r="K21" s="67">
        <f>J21/J17</f>
        <v>0.29862475442043224</v>
      </c>
    </row>
    <row r="22" spans="1:12" s="39" customFormat="1" ht="14.25">
      <c r="A22" s="41" t="s">
        <v>25</v>
      </c>
      <c r="B22" s="41" t="s">
        <v>26</v>
      </c>
      <c r="C22" s="97">
        <v>3.86</v>
      </c>
      <c r="D22" s="77">
        <v>340669.78</v>
      </c>
      <c r="E22" s="77">
        <v>336119.22</v>
      </c>
      <c r="F22" s="76">
        <f t="shared" si="0"/>
        <v>340669.78</v>
      </c>
      <c r="G22" s="77">
        <f aca="true" t="shared" si="1" ref="G22:G31">D22-E22</f>
        <v>4550.560000000056</v>
      </c>
      <c r="H22" s="217"/>
      <c r="I22" s="217"/>
      <c r="L22" s="181"/>
    </row>
    <row r="23" spans="1:9" s="39" customFormat="1" ht="14.25">
      <c r="A23" s="41" t="s">
        <v>27</v>
      </c>
      <c r="B23" s="41" t="s">
        <v>28</v>
      </c>
      <c r="C23" s="97">
        <v>0</v>
      </c>
      <c r="D23" s="77">
        <v>0</v>
      </c>
      <c r="E23" s="77">
        <v>0</v>
      </c>
      <c r="F23" s="77">
        <f t="shared" si="0"/>
        <v>0</v>
      </c>
      <c r="G23" s="77">
        <f t="shared" si="1"/>
        <v>0</v>
      </c>
      <c r="H23" s="217"/>
      <c r="I23" s="217"/>
    </row>
    <row r="24" spans="1:9" s="39" customFormat="1" ht="14.25">
      <c r="A24" s="41" t="s">
        <v>29</v>
      </c>
      <c r="B24" s="86" t="s">
        <v>462</v>
      </c>
      <c r="C24" s="46">
        <v>170</v>
      </c>
      <c r="D24" s="77">
        <v>234649.29</v>
      </c>
      <c r="E24" s="77">
        <v>234674.81</v>
      </c>
      <c r="F24" s="77">
        <f>D24</f>
        <v>234649.29</v>
      </c>
      <c r="G24" s="77">
        <f t="shared" si="1"/>
        <v>-25.519999999989523</v>
      </c>
      <c r="H24" s="217">
        <f>118*170</f>
        <v>20060</v>
      </c>
      <c r="I24" s="217">
        <f>D24/H24</f>
        <v>11.697372382851446</v>
      </c>
    </row>
    <row r="25" spans="1:12" s="39" customFormat="1" ht="14.25">
      <c r="A25" s="41" t="s">
        <v>31</v>
      </c>
      <c r="B25" s="41" t="s">
        <v>116</v>
      </c>
      <c r="C25" s="97">
        <v>2.06</v>
      </c>
      <c r="D25" s="77">
        <v>628238.58</v>
      </c>
      <c r="E25" s="77">
        <v>622239.79</v>
      </c>
      <c r="F25" s="87">
        <f>F46</f>
        <v>113128.3979</v>
      </c>
      <c r="G25" s="77">
        <f t="shared" si="1"/>
        <v>5998.789999999921</v>
      </c>
      <c r="H25" s="217"/>
      <c r="I25" s="217">
        <f>F25+F32</f>
        <v>113128.3979</v>
      </c>
      <c r="L25" s="181"/>
    </row>
    <row r="26" spans="1:9" s="39" customFormat="1" ht="14.25">
      <c r="A26" s="41" t="s">
        <v>33</v>
      </c>
      <c r="B26" s="41" t="s">
        <v>161</v>
      </c>
      <c r="C26" s="46" t="s">
        <v>297</v>
      </c>
      <c r="D26" s="90">
        <v>0</v>
      </c>
      <c r="E26" s="90">
        <v>0</v>
      </c>
      <c r="F26" s="90">
        <v>0</v>
      </c>
      <c r="G26" s="77">
        <f t="shared" si="1"/>
        <v>0</v>
      </c>
      <c r="H26" s="217"/>
      <c r="I26" s="218"/>
    </row>
    <row r="27" spans="1:12" s="39" customFormat="1" ht="14.25">
      <c r="A27" s="41" t="s">
        <v>35</v>
      </c>
      <c r="B27" s="41" t="s">
        <v>36</v>
      </c>
      <c r="C27" s="46"/>
      <c r="D27" s="77">
        <f>D28+D29+D30+D31</f>
        <v>4713230.970000001</v>
      </c>
      <c r="E27" s="77">
        <f>E28+E29+E30+E31</f>
        <v>4702827.23</v>
      </c>
      <c r="F27" s="77">
        <f>F28+F29+F30+F31</f>
        <v>4713230.970000001</v>
      </c>
      <c r="G27" s="77">
        <f t="shared" si="1"/>
        <v>10403.740000000224</v>
      </c>
      <c r="H27" s="217"/>
      <c r="I27" s="217"/>
      <c r="L27" s="181"/>
    </row>
    <row r="28" spans="1:19" ht="15">
      <c r="A28" s="34" t="s">
        <v>37</v>
      </c>
      <c r="B28" s="34" t="s">
        <v>245</v>
      </c>
      <c r="C28" s="293">
        <v>4.2</v>
      </c>
      <c r="D28" s="84">
        <v>1326545.58</v>
      </c>
      <c r="E28" s="84">
        <v>1298963.62</v>
      </c>
      <c r="F28" s="84">
        <f>D28</f>
        <v>1326545.58</v>
      </c>
      <c r="G28" s="84">
        <f>D28-E28</f>
        <v>27581.959999999963</v>
      </c>
      <c r="H28" s="170"/>
      <c r="I28" s="170"/>
      <c r="R28" s="219"/>
      <c r="S28" s="219"/>
    </row>
    <row r="29" spans="1:14" ht="15">
      <c r="A29" s="34" t="s">
        <v>39</v>
      </c>
      <c r="B29" s="34" t="s">
        <v>137</v>
      </c>
      <c r="C29" s="285">
        <v>57.08</v>
      </c>
      <c r="D29" s="84">
        <v>527701.76</v>
      </c>
      <c r="E29" s="210">
        <v>529244.01</v>
      </c>
      <c r="F29" s="210">
        <f>D29</f>
        <v>527701.76</v>
      </c>
      <c r="G29" s="84">
        <f t="shared" si="1"/>
        <v>-1542.25</v>
      </c>
      <c r="H29" s="170"/>
      <c r="I29" s="170"/>
      <c r="L29" s="159"/>
      <c r="M29" s="159"/>
      <c r="N29" s="159"/>
    </row>
    <row r="30" spans="1:14" ht="15">
      <c r="A30" s="34" t="s">
        <v>42</v>
      </c>
      <c r="B30" s="34" t="s">
        <v>341</v>
      </c>
      <c r="C30" s="286">
        <v>169.02</v>
      </c>
      <c r="D30" s="84">
        <v>659711.64</v>
      </c>
      <c r="E30" s="210">
        <v>652547.14</v>
      </c>
      <c r="F30" s="210">
        <f>D30</f>
        <v>659711.64</v>
      </c>
      <c r="G30" s="84">
        <f t="shared" si="1"/>
        <v>7164.5</v>
      </c>
      <c r="H30" s="170"/>
      <c r="I30" s="170"/>
      <c r="L30" s="159"/>
      <c r="M30" s="159"/>
      <c r="N30" s="159"/>
    </row>
    <row r="31" spans="1:12" ht="15">
      <c r="A31" s="34" t="s">
        <v>41</v>
      </c>
      <c r="B31" s="34" t="s">
        <v>43</v>
      </c>
      <c r="C31" s="285">
        <v>2167.15</v>
      </c>
      <c r="D31" s="84">
        <v>2199271.99</v>
      </c>
      <c r="E31" s="84">
        <v>2222072.46</v>
      </c>
      <c r="F31" s="84">
        <f>D31</f>
        <v>2199271.99</v>
      </c>
      <c r="G31" s="84">
        <f t="shared" si="1"/>
        <v>-22800.46999999974</v>
      </c>
      <c r="H31" s="170"/>
      <c r="I31" s="170"/>
      <c r="L31" s="159"/>
    </row>
    <row r="32" spans="1:11" s="102" customFormat="1" ht="26.25">
      <c r="A32" s="231" t="s">
        <v>192</v>
      </c>
      <c r="B32" s="134" t="s">
        <v>501</v>
      </c>
      <c r="C32" s="428">
        <v>2.06</v>
      </c>
      <c r="D32" s="221">
        <f>C32*C41*12</f>
        <v>23911.656</v>
      </c>
      <c r="E32" s="221">
        <f>C32*C41*8</f>
        <v>15941.104</v>
      </c>
      <c r="F32" s="221">
        <v>0</v>
      </c>
      <c r="G32" s="77">
        <f>D32-E32</f>
        <v>7970.552</v>
      </c>
      <c r="H32" s="217"/>
      <c r="I32" s="170"/>
      <c r="J32" s="101"/>
      <c r="K32" s="101"/>
    </row>
    <row r="33" spans="1:11" s="102" customFormat="1" ht="15">
      <c r="A33" s="308" t="s">
        <v>274</v>
      </c>
      <c r="B33" s="402" t="s">
        <v>272</v>
      </c>
      <c r="C33" s="421"/>
      <c r="D33" s="328">
        <f>(500*12)+(500*12)+(500*12)+1000</f>
        <v>19000</v>
      </c>
      <c r="E33" s="328">
        <v>9999</v>
      </c>
      <c r="F33" s="328">
        <v>0</v>
      </c>
      <c r="G33" s="401">
        <f>D33-E33</f>
        <v>9001</v>
      </c>
      <c r="H33" s="334"/>
      <c r="I33" s="170">
        <v>10451.27</v>
      </c>
      <c r="J33" s="324">
        <v>9787.98</v>
      </c>
      <c r="K33" s="324">
        <v>6316.99</v>
      </c>
    </row>
    <row r="34" spans="1:11" s="102" customFormat="1" ht="15">
      <c r="A34" s="283"/>
      <c r="B34" s="402"/>
      <c r="C34" s="487" t="s">
        <v>557</v>
      </c>
      <c r="D34" s="488"/>
      <c r="E34" s="488"/>
      <c r="F34" s="488"/>
      <c r="G34" s="424">
        <f>E33-(E33*15%)</f>
        <v>8499.15</v>
      </c>
      <c r="H34" s="170"/>
      <c r="I34" s="170"/>
      <c r="J34" s="101"/>
      <c r="K34" s="101"/>
    </row>
    <row r="35" spans="1:11" s="102" customFormat="1" ht="15.75" thickBot="1">
      <c r="A35" s="446" t="s">
        <v>294</v>
      </c>
      <c r="B35" s="447"/>
      <c r="C35" s="447"/>
      <c r="D35" s="448"/>
      <c r="E35" s="448"/>
      <c r="F35" s="448"/>
      <c r="G35" s="101"/>
      <c r="H35" s="101"/>
      <c r="I35" s="101"/>
      <c r="J35" s="101"/>
      <c r="K35" s="101"/>
    </row>
    <row r="36" spans="1:11" s="67" customFormat="1" ht="15.75" thickBot="1">
      <c r="A36" s="455" t="s">
        <v>413</v>
      </c>
      <c r="B36" s="456"/>
      <c r="C36" s="456"/>
      <c r="D36" s="65">
        <v>1465391.39</v>
      </c>
      <c r="E36" s="66"/>
      <c r="F36" s="66"/>
      <c r="G36" s="66"/>
      <c r="H36" s="66"/>
      <c r="I36" s="66"/>
      <c r="J36" s="62"/>
      <c r="K36" s="62"/>
    </row>
    <row r="37" spans="1:11" s="67" customFormat="1" ht="6.75" customHeight="1" thickBot="1">
      <c r="A37" s="68"/>
      <c r="B37" s="68"/>
      <c r="C37" s="68"/>
      <c r="D37" s="40"/>
      <c r="E37" s="66"/>
      <c r="F37" s="66"/>
      <c r="G37" s="66"/>
      <c r="H37" s="66"/>
      <c r="I37" s="66"/>
      <c r="J37" s="62"/>
      <c r="K37" s="62"/>
    </row>
    <row r="38" spans="1:12" s="67" customFormat="1" ht="15.75" thickBot="1">
      <c r="A38" s="63" t="s">
        <v>447</v>
      </c>
      <c r="B38" s="64"/>
      <c r="C38" s="64"/>
      <c r="D38" s="69"/>
      <c r="E38" s="70"/>
      <c r="F38" s="70"/>
      <c r="G38" s="144">
        <f>G14+E25-F25+E32-F32</f>
        <v>743528.1831999999</v>
      </c>
      <c r="H38" s="40"/>
      <c r="I38" s="40"/>
      <c r="J38" s="62"/>
      <c r="K38" s="62"/>
      <c r="L38" s="145"/>
    </row>
    <row r="39" spans="1:11" s="67" customFormat="1" ht="15">
      <c r="A39" s="516" t="s">
        <v>144</v>
      </c>
      <c r="B39" s="516"/>
      <c r="C39" s="68"/>
      <c r="D39" s="40"/>
      <c r="E39" s="66"/>
      <c r="F39" s="66"/>
      <c r="G39" s="40"/>
      <c r="H39" s="40"/>
      <c r="I39" s="40"/>
      <c r="J39" s="62"/>
      <c r="K39" s="62"/>
    </row>
    <row r="40" spans="1:11" s="67" customFormat="1" ht="15">
      <c r="A40" s="517" t="s">
        <v>502</v>
      </c>
      <c r="B40" s="518"/>
      <c r="C40" s="311" t="s">
        <v>146</v>
      </c>
      <c r="D40" s="311" t="s">
        <v>147</v>
      </c>
      <c r="E40" s="312" t="s">
        <v>148</v>
      </c>
      <c r="F40" s="313" t="s">
        <v>149</v>
      </c>
      <c r="G40" s="312" t="s">
        <v>150</v>
      </c>
      <c r="H40" s="322"/>
      <c r="I40" s="54"/>
      <c r="J40" s="62"/>
      <c r="K40" s="62"/>
    </row>
    <row r="41" spans="1:11" s="67" customFormat="1" ht="15">
      <c r="A41" s="519"/>
      <c r="B41" s="520"/>
      <c r="C41" s="294">
        <v>967.3</v>
      </c>
      <c r="D41" s="314">
        <f>E41/C41/12</f>
        <v>19.119101278472726</v>
      </c>
      <c r="E41" s="309">
        <v>221926.88</v>
      </c>
      <c r="F41" s="315">
        <v>203332.39</v>
      </c>
      <c r="G41" s="314">
        <f>E41-F41</f>
        <v>18594.48999999999</v>
      </c>
      <c r="H41" s="323"/>
      <c r="I41" s="222"/>
      <c r="J41" s="321">
        <f>967.3+251.9+125.4</f>
        <v>1344.6000000000001</v>
      </c>
      <c r="K41" s="195"/>
    </row>
    <row r="42" spans="1:11" s="67" customFormat="1" ht="15">
      <c r="A42" s="55"/>
      <c r="B42" s="55"/>
      <c r="C42" s="223"/>
      <c r="D42" s="224"/>
      <c r="E42" s="225"/>
      <c r="F42" s="225"/>
      <c r="G42" s="224"/>
      <c r="H42" s="222"/>
      <c r="I42" s="222"/>
      <c r="J42" s="195"/>
      <c r="K42" s="195"/>
    </row>
    <row r="43" spans="1:11" ht="35.25" customHeight="1">
      <c r="A43" s="537" t="s">
        <v>44</v>
      </c>
      <c r="B43" s="594"/>
      <c r="C43" s="594"/>
      <c r="D43" s="594"/>
      <c r="E43" s="594"/>
      <c r="F43" s="594"/>
      <c r="G43" s="594"/>
      <c r="H43" s="317"/>
      <c r="I43" s="226"/>
      <c r="J43" s="196"/>
      <c r="K43" s="196"/>
    </row>
    <row r="45" spans="1:9" s="171" customFormat="1" ht="28.5">
      <c r="A45" s="105" t="s">
        <v>11</v>
      </c>
      <c r="B45" s="471" t="s">
        <v>45</v>
      </c>
      <c r="C45" s="472"/>
      <c r="D45" s="105" t="s">
        <v>163</v>
      </c>
      <c r="E45" s="105" t="s">
        <v>162</v>
      </c>
      <c r="F45" s="471" t="s">
        <v>46</v>
      </c>
      <c r="G45" s="483"/>
      <c r="H45" s="227"/>
      <c r="I45" s="227"/>
    </row>
    <row r="46" spans="1:9" s="114" customFormat="1" ht="15">
      <c r="A46" s="109" t="s">
        <v>47</v>
      </c>
      <c r="B46" s="473" t="s">
        <v>111</v>
      </c>
      <c r="C46" s="474"/>
      <c r="D46" s="172"/>
      <c r="E46" s="172"/>
      <c r="F46" s="496">
        <f>SUM(F47:G59)</f>
        <v>113128.3979</v>
      </c>
      <c r="G46" s="483"/>
      <c r="H46" s="227"/>
      <c r="I46" s="227"/>
    </row>
    <row r="47" spans="1:9" ht="15">
      <c r="A47" s="34" t="s">
        <v>16</v>
      </c>
      <c r="B47" s="462" t="s">
        <v>342</v>
      </c>
      <c r="C47" s="463"/>
      <c r="D47" s="407" t="s">
        <v>164</v>
      </c>
      <c r="E47" s="407">
        <v>1</v>
      </c>
      <c r="F47" s="497">
        <v>2500</v>
      </c>
      <c r="G47" s="497"/>
      <c r="H47" s="180"/>
      <c r="I47" s="180"/>
    </row>
    <row r="48" spans="1:9" ht="15">
      <c r="A48" s="34" t="s">
        <v>18</v>
      </c>
      <c r="B48" s="462" t="s">
        <v>623</v>
      </c>
      <c r="C48" s="463"/>
      <c r="D48" s="407"/>
      <c r="E48" s="407" t="s">
        <v>398</v>
      </c>
      <c r="F48" s="497">
        <v>3500</v>
      </c>
      <c r="G48" s="497"/>
      <c r="H48" s="180"/>
      <c r="I48" s="180"/>
    </row>
    <row r="49" spans="1:9" ht="15" customHeight="1">
      <c r="A49" s="34" t="s">
        <v>20</v>
      </c>
      <c r="B49" s="462" t="s">
        <v>624</v>
      </c>
      <c r="C49" s="463"/>
      <c r="D49" s="407" t="s">
        <v>216</v>
      </c>
      <c r="E49" s="407">
        <v>0.1</v>
      </c>
      <c r="F49" s="525">
        <v>4804.69</v>
      </c>
      <c r="G49" s="526"/>
      <c r="H49" s="180"/>
      <c r="I49" s="180"/>
    </row>
    <row r="50" spans="1:9" ht="18" customHeight="1">
      <c r="A50" s="34" t="s">
        <v>22</v>
      </c>
      <c r="B50" s="462" t="s">
        <v>625</v>
      </c>
      <c r="C50" s="463"/>
      <c r="D50" s="407" t="s">
        <v>164</v>
      </c>
      <c r="E50" s="407">
        <v>1</v>
      </c>
      <c r="F50" s="497">
        <v>2172.03</v>
      </c>
      <c r="G50" s="497"/>
      <c r="H50" s="180"/>
      <c r="I50" s="180"/>
    </row>
    <row r="51" spans="1:9" ht="18" customHeight="1">
      <c r="A51" s="34" t="s">
        <v>24</v>
      </c>
      <c r="B51" s="462" t="s">
        <v>626</v>
      </c>
      <c r="C51" s="463"/>
      <c r="D51" s="407" t="s">
        <v>164</v>
      </c>
      <c r="E51" s="407">
        <v>1</v>
      </c>
      <c r="F51" s="497">
        <v>34300</v>
      </c>
      <c r="G51" s="497"/>
      <c r="H51" s="180"/>
      <c r="I51" s="180"/>
    </row>
    <row r="52" spans="1:9" ht="18" customHeight="1">
      <c r="A52" s="34" t="s">
        <v>103</v>
      </c>
      <c r="B52" s="462" t="s">
        <v>627</v>
      </c>
      <c r="C52" s="463"/>
      <c r="D52" s="407"/>
      <c r="E52" s="407"/>
      <c r="F52" s="497">
        <v>16200</v>
      </c>
      <c r="G52" s="497"/>
      <c r="H52" s="180"/>
      <c r="I52" s="180"/>
    </row>
    <row r="53" spans="1:9" ht="15">
      <c r="A53" s="34" t="s">
        <v>104</v>
      </c>
      <c r="B53" s="462" t="s">
        <v>628</v>
      </c>
      <c r="C53" s="463"/>
      <c r="D53" s="407"/>
      <c r="E53" s="407"/>
      <c r="F53" s="497">
        <v>9669.28</v>
      </c>
      <c r="G53" s="497"/>
      <c r="H53" s="180"/>
      <c r="I53" s="180"/>
    </row>
    <row r="54" spans="1:9" ht="15">
      <c r="A54" s="34" t="s">
        <v>117</v>
      </c>
      <c r="B54" s="462" t="s">
        <v>401</v>
      </c>
      <c r="C54" s="463"/>
      <c r="D54" s="407"/>
      <c r="E54" s="407"/>
      <c r="F54" s="515">
        <v>12000</v>
      </c>
      <c r="G54" s="515"/>
      <c r="H54" s="180"/>
      <c r="I54" s="180"/>
    </row>
    <row r="55" spans="1:9" ht="15">
      <c r="A55" s="34" t="s">
        <v>118</v>
      </c>
      <c r="B55" s="462" t="s">
        <v>629</v>
      </c>
      <c r="C55" s="463"/>
      <c r="D55" s="407" t="s">
        <v>164</v>
      </c>
      <c r="E55" s="407">
        <v>2</v>
      </c>
      <c r="F55" s="624">
        <v>6560</v>
      </c>
      <c r="G55" s="625"/>
      <c r="H55" s="180"/>
      <c r="I55" s="180"/>
    </row>
    <row r="56" spans="1:9" ht="21.75" customHeight="1">
      <c r="A56" s="34" t="s">
        <v>119</v>
      </c>
      <c r="B56" s="462" t="s">
        <v>630</v>
      </c>
      <c r="C56" s="463"/>
      <c r="D56" s="407"/>
      <c r="E56" s="407"/>
      <c r="F56" s="515">
        <v>1200</v>
      </c>
      <c r="G56" s="515"/>
      <c r="H56" s="180"/>
      <c r="I56" s="180"/>
    </row>
    <row r="57" spans="1:9" ht="15" customHeight="1">
      <c r="A57" s="34" t="s">
        <v>139</v>
      </c>
      <c r="B57" s="449" t="s">
        <v>814</v>
      </c>
      <c r="C57" s="450"/>
      <c r="D57" s="151" t="s">
        <v>391</v>
      </c>
      <c r="E57" s="151">
        <v>5</v>
      </c>
      <c r="F57" s="521">
        <v>14000</v>
      </c>
      <c r="G57" s="522"/>
      <c r="H57" s="180"/>
      <c r="I57" s="180"/>
    </row>
    <row r="58" spans="1:9" ht="15" customHeight="1">
      <c r="A58" s="34" t="s">
        <v>141</v>
      </c>
      <c r="B58" s="462"/>
      <c r="C58" s="463"/>
      <c r="D58" s="407"/>
      <c r="E58" s="407"/>
      <c r="F58" s="525"/>
      <c r="G58" s="526"/>
      <c r="H58" s="180"/>
      <c r="I58" s="180"/>
    </row>
    <row r="59" spans="1:9" ht="15" customHeight="1">
      <c r="A59" s="34" t="s">
        <v>142</v>
      </c>
      <c r="B59" s="511" t="s">
        <v>188</v>
      </c>
      <c r="C59" s="593"/>
      <c r="D59" s="190"/>
      <c r="E59" s="190"/>
      <c r="F59" s="495">
        <f>E25*1%</f>
        <v>6222.397900000001</v>
      </c>
      <c r="G59" s="495"/>
      <c r="H59" s="180"/>
      <c r="I59" s="180"/>
    </row>
    <row r="60" spans="1:9" ht="15">
      <c r="A60" s="168"/>
      <c r="B60" s="93"/>
      <c r="C60" s="93"/>
      <c r="D60" s="93"/>
      <c r="E60" s="93"/>
      <c r="F60" s="180"/>
      <c r="G60" s="180"/>
      <c r="H60" s="180"/>
      <c r="I60" s="180"/>
    </row>
    <row r="61" s="67" customFormat="1" ht="15"/>
    <row r="62" spans="1:6" s="67" customFormat="1" ht="15">
      <c r="A62" s="67" t="s">
        <v>55</v>
      </c>
      <c r="C62" s="67" t="s">
        <v>49</v>
      </c>
      <c r="F62" s="67" t="s">
        <v>90</v>
      </c>
    </row>
    <row r="63" s="67" customFormat="1" ht="15">
      <c r="F63" s="126" t="s">
        <v>545</v>
      </c>
    </row>
    <row r="64" s="67" customFormat="1" ht="15">
      <c r="A64" s="67" t="s">
        <v>50</v>
      </c>
    </row>
    <row r="65" spans="3:9" s="67" customFormat="1" ht="15">
      <c r="C65" s="128" t="s">
        <v>51</v>
      </c>
      <c r="E65" s="128"/>
      <c r="F65" s="128"/>
      <c r="G65" s="128"/>
      <c r="H65" s="128"/>
      <c r="I65" s="128"/>
    </row>
  </sheetData>
  <sheetProtection/>
  <mergeCells count="43">
    <mergeCell ref="F58:G58"/>
    <mergeCell ref="F45:G45"/>
    <mergeCell ref="B45:C45"/>
    <mergeCell ref="B56:C56"/>
    <mergeCell ref="B58:C58"/>
    <mergeCell ref="B54:C54"/>
    <mergeCell ref="B53:C53"/>
    <mergeCell ref="A1:K1"/>
    <mergeCell ref="A2:K2"/>
    <mergeCell ref="A3:K3"/>
    <mergeCell ref="A5:K5"/>
    <mergeCell ref="A10:K10"/>
    <mergeCell ref="A39:B39"/>
    <mergeCell ref="B51:C51"/>
    <mergeCell ref="F51:G51"/>
    <mergeCell ref="A11:K11"/>
    <mergeCell ref="A40:B41"/>
    <mergeCell ref="A43:G43"/>
    <mergeCell ref="B47:C47"/>
    <mergeCell ref="F46:G46"/>
    <mergeCell ref="F54:G54"/>
    <mergeCell ref="B46:C46"/>
    <mergeCell ref="F50:G50"/>
    <mergeCell ref="A36:C36"/>
    <mergeCell ref="B49:C49"/>
    <mergeCell ref="F59:G59"/>
    <mergeCell ref="B57:C57"/>
    <mergeCell ref="F56:G56"/>
    <mergeCell ref="F57:G57"/>
    <mergeCell ref="B59:C59"/>
    <mergeCell ref="F55:G55"/>
    <mergeCell ref="F52:G52"/>
    <mergeCell ref="B52:C52"/>
    <mergeCell ref="B50:C50"/>
    <mergeCell ref="F53:G53"/>
    <mergeCell ref="B55:C55"/>
    <mergeCell ref="B48:C48"/>
    <mergeCell ref="A12:K12"/>
    <mergeCell ref="A35:F35"/>
    <mergeCell ref="F47:G47"/>
    <mergeCell ref="F48:G48"/>
    <mergeCell ref="F49:G49"/>
    <mergeCell ref="C34:F34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landscape" paperSize="9" scale="95" r:id="rId1"/>
  <colBreaks count="1" manualBreakCount="1">
    <brk id="9" max="52" man="1"/>
  </colBreaks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FF00"/>
  </sheetPr>
  <dimension ref="A1:Q67"/>
  <sheetViews>
    <sheetView zoomScalePageLayoutView="0" workbookViewId="0" topLeftCell="A47">
      <selection activeCell="G60" sqref="G60"/>
    </sheetView>
  </sheetViews>
  <sheetFormatPr defaultColWidth="9.140625" defaultRowHeight="15" outlineLevelCol="1"/>
  <cols>
    <col min="1" max="1" width="6.140625" style="35" customWidth="1"/>
    <col min="2" max="2" width="46.00390625" style="35" customWidth="1"/>
    <col min="3" max="3" width="13.57421875" style="35" customWidth="1"/>
    <col min="4" max="4" width="12.7109375" style="35" customWidth="1"/>
    <col min="5" max="5" width="15.140625" style="35" customWidth="1"/>
    <col min="6" max="6" width="15.00390625" style="35" customWidth="1"/>
    <col min="7" max="7" width="14.421875" style="35" customWidth="1"/>
    <col min="8" max="8" width="10.8515625" style="35" hidden="1" customWidth="1" outlineLevel="1"/>
    <col min="9" max="9" width="11.140625" style="35" hidden="1" customWidth="1" outlineLevel="1"/>
    <col min="10" max="10" width="11.00390625" style="35" hidden="1" customWidth="1" outlineLevel="1"/>
    <col min="11" max="11" width="9.57421875" style="35" hidden="1" customWidth="1" outlineLevel="1"/>
    <col min="12" max="12" width="8.57421875" style="35" hidden="1" customWidth="1" outlineLevel="1"/>
    <col min="13" max="13" width="11.8515625" style="228" hidden="1" customWidth="1" outlineLevel="1"/>
    <col min="14" max="14" width="9.140625" style="35" customWidth="1" collapsed="1"/>
    <col min="15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157"/>
      <c r="I1" s="157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296"/>
      <c r="I2" s="296"/>
    </row>
    <row r="3" spans="1:11" ht="15">
      <c r="A3" s="443" t="s">
        <v>408</v>
      </c>
      <c r="B3" s="443"/>
      <c r="C3" s="443"/>
      <c r="D3" s="443"/>
      <c r="E3" s="443"/>
      <c r="F3" s="443"/>
      <c r="G3" s="443"/>
      <c r="H3" s="297"/>
      <c r="I3" s="297"/>
      <c r="J3" s="297"/>
      <c r="K3" s="297"/>
    </row>
    <row r="4" spans="1:9" ht="15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5">
      <c r="A5" s="476" t="s">
        <v>1</v>
      </c>
      <c r="B5" s="475"/>
      <c r="C5" s="475"/>
      <c r="D5" s="475"/>
      <c r="E5" s="475"/>
      <c r="F5" s="475"/>
      <c r="G5" s="475"/>
      <c r="H5" s="296"/>
      <c r="I5" s="296"/>
    </row>
    <row r="7" spans="1:10" s="67" customFormat="1" ht="15">
      <c r="A7" s="67" t="s">
        <v>2</v>
      </c>
      <c r="F7" s="126" t="s">
        <v>134</v>
      </c>
      <c r="I7" s="67" t="s">
        <v>449</v>
      </c>
      <c r="J7" s="67" t="s">
        <v>448</v>
      </c>
    </row>
    <row r="8" spans="1:12" s="67" customFormat="1" ht="15">
      <c r="A8" s="67" t="s">
        <v>3</v>
      </c>
      <c r="F8" s="291" t="s">
        <v>450</v>
      </c>
      <c r="H8" s="167">
        <f>98.9+88.2+105.9+151.9+137.3+99+97.9+101.8+104.6</f>
        <v>985.5</v>
      </c>
      <c r="I8" s="359">
        <f>49.45+98.9+95.1+88.2+105.9+106.9+137.3+49.45</f>
        <v>731.2</v>
      </c>
      <c r="J8" s="362">
        <f>99+97.9+101.8+104.6+188+151.9</f>
        <v>743.1999999999999</v>
      </c>
      <c r="L8" s="208">
        <f>I8+J8+I11</f>
        <v>1510.3000000000002</v>
      </c>
    </row>
    <row r="9" spans="9:12" s="67" customFormat="1" ht="15">
      <c r="I9" s="295">
        <v>5268.3</v>
      </c>
      <c r="J9" s="67">
        <v>9858.6</v>
      </c>
      <c r="K9" s="208">
        <f>I9+J9</f>
        <v>15126.900000000001</v>
      </c>
      <c r="L9" s="208">
        <f>L8+K9</f>
        <v>16637.2</v>
      </c>
    </row>
    <row r="10" spans="1:13" s="67" customFormat="1" ht="15">
      <c r="A10" s="445" t="s">
        <v>8</v>
      </c>
      <c r="B10" s="445"/>
      <c r="C10" s="445"/>
      <c r="D10" s="445"/>
      <c r="E10" s="445"/>
      <c r="F10" s="445"/>
      <c r="G10" s="445"/>
      <c r="H10" s="62"/>
      <c r="I10" s="360">
        <f>I8+I9+I11</f>
        <v>6035.4</v>
      </c>
      <c r="J10" s="125">
        <f>J8+J9</f>
        <v>10601.800000000001</v>
      </c>
      <c r="M10" s="208"/>
    </row>
    <row r="11" spans="1:12" s="67" customFormat="1" ht="15">
      <c r="A11" s="445" t="s">
        <v>9</v>
      </c>
      <c r="B11" s="445"/>
      <c r="C11" s="445"/>
      <c r="D11" s="445"/>
      <c r="E11" s="445"/>
      <c r="F11" s="445"/>
      <c r="G11" s="445"/>
      <c r="H11" s="62"/>
      <c r="I11" s="361">
        <v>35.9</v>
      </c>
      <c r="L11" s="363">
        <f>L9-151.9</f>
        <v>16485.3</v>
      </c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62"/>
      <c r="I12" s="62"/>
    </row>
    <row r="13" spans="1:9" s="67" customFormat="1" ht="15.75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336</v>
      </c>
      <c r="B14" s="64"/>
      <c r="C14" s="64"/>
      <c r="D14" s="69"/>
      <c r="E14" s="70"/>
      <c r="F14" s="70"/>
      <c r="G14" s="144">
        <f>'[2]Солнечный б-р 2 общий'!$G$37</f>
        <v>-258931.84589999984</v>
      </c>
      <c r="H14" s="62"/>
      <c r="I14" s="62"/>
    </row>
    <row r="15" s="67" customFormat="1" ht="15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</row>
    <row r="17" spans="1:12" s="167" customFormat="1" ht="29.25">
      <c r="A17" s="75" t="s">
        <v>14</v>
      </c>
      <c r="B17" s="41" t="s">
        <v>15</v>
      </c>
      <c r="C17" s="97">
        <f>C18+C19+C20+C21+C22</f>
        <v>13.74</v>
      </c>
      <c r="D17" s="76">
        <f>1661709.62+938952.02</f>
        <v>2600661.64</v>
      </c>
      <c r="E17" s="76">
        <f>1645586.92+951927.26</f>
        <v>2597514.1799999997</v>
      </c>
      <c r="F17" s="76">
        <f aca="true" t="shared" si="0" ref="F17:F25">D17</f>
        <v>2600661.64</v>
      </c>
      <c r="G17" s="77">
        <f aca="true" t="shared" si="1" ref="G17:G22">D17-E17</f>
        <v>3147.4600000004284</v>
      </c>
      <c r="H17" s="136">
        <f aca="true" t="shared" si="2" ref="H17:H22">C17</f>
        <v>13.74</v>
      </c>
      <c r="I17" s="167">
        <f>D17/12/C17</f>
        <v>15773.057011159632</v>
      </c>
      <c r="J17" s="67">
        <v>10449.9</v>
      </c>
      <c r="K17" s="67">
        <v>13.68</v>
      </c>
      <c r="L17" s="67">
        <f>J17*K17</f>
        <v>142954.63199999998</v>
      </c>
    </row>
    <row r="18" spans="1:12" s="67" customFormat="1" ht="15">
      <c r="A18" s="81" t="s">
        <v>16</v>
      </c>
      <c r="B18" s="34" t="s">
        <v>17</v>
      </c>
      <c r="C18" s="82">
        <v>3.46</v>
      </c>
      <c r="D18" s="83">
        <f>D17*I18</f>
        <v>654897.3271033479</v>
      </c>
      <c r="E18" s="83">
        <f>E17*I18</f>
        <v>654104.7352838427</v>
      </c>
      <c r="F18" s="83">
        <f t="shared" si="0"/>
        <v>654897.3271033479</v>
      </c>
      <c r="G18" s="84">
        <f t="shared" si="1"/>
        <v>792.5918195052072</v>
      </c>
      <c r="H18" s="78">
        <f t="shared" si="2"/>
        <v>3.46</v>
      </c>
      <c r="I18" s="67">
        <f>H18/H17</f>
        <v>0.25181950509461426</v>
      </c>
      <c r="J18" s="126">
        <v>6035.4</v>
      </c>
      <c r="K18" s="126">
        <v>13.84</v>
      </c>
      <c r="L18" s="126">
        <f>J18*K18</f>
        <v>83529.93599999999</v>
      </c>
    </row>
    <row r="19" spans="1:13" s="67" customFormat="1" ht="15">
      <c r="A19" s="81" t="s">
        <v>18</v>
      </c>
      <c r="B19" s="34" t="s">
        <v>19</v>
      </c>
      <c r="C19" s="82">
        <v>1.69</v>
      </c>
      <c r="D19" s="83">
        <f>D17*I19</f>
        <v>319877.5961863173</v>
      </c>
      <c r="E19" s="83">
        <f>E17*I19</f>
        <v>319490.4631877729</v>
      </c>
      <c r="F19" s="83">
        <f t="shared" si="0"/>
        <v>319877.5961863173</v>
      </c>
      <c r="G19" s="84">
        <f t="shared" si="1"/>
        <v>387.13299854443176</v>
      </c>
      <c r="H19" s="78">
        <f t="shared" si="2"/>
        <v>1.69</v>
      </c>
      <c r="I19" s="67">
        <f>H19/H17</f>
        <v>0.12299854439592431</v>
      </c>
      <c r="J19" s="167">
        <f>J17+J18</f>
        <v>16485.3</v>
      </c>
      <c r="K19" s="167"/>
      <c r="L19" s="167">
        <f>L17+L18</f>
        <v>226484.56799999997</v>
      </c>
      <c r="M19" s="365">
        <f>L19/J19</f>
        <v>13.738577277938527</v>
      </c>
    </row>
    <row r="20" spans="1:9" s="67" customFormat="1" ht="15">
      <c r="A20" s="81" t="s">
        <v>20</v>
      </c>
      <c r="B20" s="34" t="s">
        <v>21</v>
      </c>
      <c r="C20" s="82">
        <v>2.05</v>
      </c>
      <c r="D20" s="83">
        <f>D17*I20</f>
        <v>388017.2024745269</v>
      </c>
      <c r="E20" s="83">
        <f>E17*I20</f>
        <v>387547.6032751091</v>
      </c>
      <c r="F20" s="83">
        <f t="shared" si="0"/>
        <v>388017.2024745269</v>
      </c>
      <c r="G20" s="84">
        <f t="shared" si="1"/>
        <v>469.5991994178039</v>
      </c>
      <c r="H20" s="78">
        <f t="shared" si="2"/>
        <v>2.05</v>
      </c>
      <c r="I20" s="67">
        <f>H20/H17</f>
        <v>0.1491994177583697</v>
      </c>
    </row>
    <row r="21" spans="1:12" s="67" customFormat="1" ht="15">
      <c r="A21" s="81" t="s">
        <v>22</v>
      </c>
      <c r="B21" s="34" t="s">
        <v>23</v>
      </c>
      <c r="C21" s="82">
        <v>3.04</v>
      </c>
      <c r="D21" s="83">
        <f>D17*I21</f>
        <v>575401.1197671033</v>
      </c>
      <c r="E21" s="83">
        <f>E17*I21</f>
        <v>574704.7385152838</v>
      </c>
      <c r="F21" s="83">
        <f t="shared" si="0"/>
        <v>575401.1197671033</v>
      </c>
      <c r="G21" s="84">
        <f t="shared" si="1"/>
        <v>696.3812518195482</v>
      </c>
      <c r="H21" s="78">
        <f t="shared" si="2"/>
        <v>3.04</v>
      </c>
      <c r="I21" s="67">
        <f>H21/H17</f>
        <v>0.22125181950509462</v>
      </c>
      <c r="J21" s="67">
        <v>10449.9</v>
      </c>
      <c r="K21" s="67">
        <v>1.99</v>
      </c>
      <c r="L21" s="67">
        <f>J21*K21</f>
        <v>20795.301</v>
      </c>
    </row>
    <row r="22" spans="1:12" s="67" customFormat="1" ht="15">
      <c r="A22" s="364" t="s">
        <v>24</v>
      </c>
      <c r="B22" s="34" t="s">
        <v>180</v>
      </c>
      <c r="C22" s="82">
        <v>3.5</v>
      </c>
      <c r="D22" s="83">
        <f>D17*I22</f>
        <v>662468.3944687046</v>
      </c>
      <c r="E22" s="83">
        <f>E17*I22</f>
        <v>661666.6397379913</v>
      </c>
      <c r="F22" s="83">
        <f>D22</f>
        <v>662468.3944687046</v>
      </c>
      <c r="G22" s="84">
        <f t="shared" si="1"/>
        <v>801.7547307133209</v>
      </c>
      <c r="H22" s="78">
        <f t="shared" si="2"/>
        <v>3.5</v>
      </c>
      <c r="I22" s="67">
        <f>H22/H17</f>
        <v>0.2547307132459971</v>
      </c>
      <c r="J22" s="126">
        <v>6035.4</v>
      </c>
      <c r="K22" s="126">
        <v>2.15</v>
      </c>
      <c r="L22" s="126">
        <f>J22*K22</f>
        <v>12976.109999999999</v>
      </c>
    </row>
    <row r="23" spans="1:17" s="39" customFormat="1" ht="15">
      <c r="A23" s="41" t="s">
        <v>25</v>
      </c>
      <c r="B23" s="41" t="s">
        <v>26</v>
      </c>
      <c r="C23" s="97">
        <v>3.86</v>
      </c>
      <c r="D23" s="77">
        <f>465103.36+243153.4</f>
        <v>708256.76</v>
      </c>
      <c r="E23" s="77">
        <f>462606.8+242312.85</f>
        <v>704919.65</v>
      </c>
      <c r="F23" s="76">
        <f t="shared" si="0"/>
        <v>708256.76</v>
      </c>
      <c r="G23" s="77">
        <f aca="true" t="shared" si="3" ref="G23:G32">D23-E23</f>
        <v>3337.109999999986</v>
      </c>
      <c r="J23" s="39">
        <f>J21+J22</f>
        <v>16485.3</v>
      </c>
      <c r="L23" s="39">
        <f>L21+L22</f>
        <v>33771.411</v>
      </c>
      <c r="M23" s="366">
        <f>L23/J23</f>
        <v>2.048577277938527</v>
      </c>
      <c r="Q23" s="181"/>
    </row>
    <row r="24" spans="1:13" s="39" customFormat="1" ht="15">
      <c r="A24" s="41" t="s">
        <v>27</v>
      </c>
      <c r="B24" s="41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3"/>
        <v>0</v>
      </c>
      <c r="M24" s="230"/>
    </row>
    <row r="25" spans="1:13" s="39" customFormat="1" ht="15">
      <c r="A25" s="41" t="s">
        <v>29</v>
      </c>
      <c r="B25" s="41" t="s">
        <v>161</v>
      </c>
      <c r="C25" s="97">
        <v>1902.11</v>
      </c>
      <c r="D25" s="90">
        <v>0</v>
      </c>
      <c r="E25" s="90">
        <v>0</v>
      </c>
      <c r="F25" s="90">
        <f t="shared" si="0"/>
        <v>0</v>
      </c>
      <c r="G25" s="77">
        <f t="shared" si="3"/>
        <v>0</v>
      </c>
      <c r="M25" s="230"/>
    </row>
    <row r="26" spans="1:15" s="39" customFormat="1" ht="15">
      <c r="A26" s="41" t="s">
        <v>31</v>
      </c>
      <c r="B26" s="41" t="s">
        <v>116</v>
      </c>
      <c r="C26" s="97">
        <v>2.06</v>
      </c>
      <c r="D26" s="77">
        <f>248352.24+138557.76</f>
        <v>386910</v>
      </c>
      <c r="E26" s="77">
        <f>247025.82+139445.09</f>
        <v>386470.91000000003</v>
      </c>
      <c r="F26" s="87">
        <f>G46</f>
        <v>218419.3291</v>
      </c>
      <c r="G26" s="77">
        <f t="shared" si="3"/>
        <v>439.0899999999674</v>
      </c>
      <c r="M26" s="230"/>
      <c r="O26" s="181"/>
    </row>
    <row r="27" spans="1:13" s="39" customFormat="1" ht="15">
      <c r="A27" s="41" t="s">
        <v>33</v>
      </c>
      <c r="B27" s="41" t="s">
        <v>34</v>
      </c>
      <c r="C27" s="46">
        <v>0</v>
      </c>
      <c r="D27" s="77">
        <v>0</v>
      </c>
      <c r="E27" s="77">
        <v>0</v>
      </c>
      <c r="F27" s="87">
        <v>0</v>
      </c>
      <c r="G27" s="77">
        <f t="shared" si="3"/>
        <v>0</v>
      </c>
      <c r="M27" s="230"/>
    </row>
    <row r="28" spans="1:13" s="39" customFormat="1" ht="15">
      <c r="A28" s="41" t="s">
        <v>35</v>
      </c>
      <c r="B28" s="41" t="s">
        <v>36</v>
      </c>
      <c r="C28" s="97">
        <f>SUM(C29:C32)</f>
        <v>2404.09</v>
      </c>
      <c r="D28" s="77">
        <f>SUM(D29:D32)</f>
        <v>9579050.66</v>
      </c>
      <c r="E28" s="77">
        <f>SUM(E29:E32)</f>
        <v>9624541.629999999</v>
      </c>
      <c r="F28" s="77">
        <f>SUM(F29:F32)</f>
        <v>9579050.66</v>
      </c>
      <c r="G28" s="77">
        <f t="shared" si="3"/>
        <v>-45490.96999999881</v>
      </c>
      <c r="H28" s="39">
        <v>-38567.31</v>
      </c>
      <c r="I28" s="356">
        <f>-3855.36-34711.95</f>
        <v>-38567.31</v>
      </c>
      <c r="M28" s="230"/>
    </row>
    <row r="29" spans="1:7" ht="15">
      <c r="A29" s="34" t="s">
        <v>37</v>
      </c>
      <c r="B29" s="34" t="s">
        <v>171</v>
      </c>
      <c r="C29" s="293" t="s">
        <v>361</v>
      </c>
      <c r="D29" s="84">
        <f>1623767.5+1157525.88</f>
        <v>2781293.38</v>
      </c>
      <c r="E29" s="84">
        <f>1617436.64+1159214.89</f>
        <v>2776651.53</v>
      </c>
      <c r="F29" s="84">
        <f>D29</f>
        <v>2781293.38</v>
      </c>
      <c r="G29" s="84">
        <f t="shared" si="3"/>
        <v>4641.850000000093</v>
      </c>
    </row>
    <row r="30" spans="1:7" ht="15">
      <c r="A30" s="34" t="s">
        <v>39</v>
      </c>
      <c r="B30" s="34" t="s">
        <v>137</v>
      </c>
      <c r="C30" s="285">
        <v>57.08</v>
      </c>
      <c r="D30" s="84">
        <f>745945.41+378024.98</f>
        <v>1123970.3900000001</v>
      </c>
      <c r="E30" s="84">
        <f>747066.15+390017.88</f>
        <v>1137084.03</v>
      </c>
      <c r="F30" s="84">
        <f>D30</f>
        <v>1123970.3900000001</v>
      </c>
      <c r="G30" s="84">
        <f t="shared" si="3"/>
        <v>-13113.639999999898</v>
      </c>
    </row>
    <row r="31" spans="1:7" ht="15">
      <c r="A31" s="34" t="s">
        <v>42</v>
      </c>
      <c r="B31" s="34" t="s">
        <v>40</v>
      </c>
      <c r="C31" s="286">
        <v>179.86</v>
      </c>
      <c r="D31" s="84">
        <f>999487.16+605988.26</f>
        <v>1605475.42</v>
      </c>
      <c r="E31" s="84">
        <f>1001580.66+578801.98</f>
        <v>1580382.6400000001</v>
      </c>
      <c r="F31" s="84">
        <f>D31</f>
        <v>1605475.42</v>
      </c>
      <c r="G31" s="84">
        <f t="shared" si="3"/>
        <v>25092.779999999795</v>
      </c>
    </row>
    <row r="32" spans="1:7" ht="15">
      <c r="A32" s="34" t="s">
        <v>41</v>
      </c>
      <c r="B32" s="34" t="s">
        <v>43</v>
      </c>
      <c r="C32" s="286">
        <v>2167.15</v>
      </c>
      <c r="D32" s="84">
        <f>2557438.11+1510873.36</f>
        <v>4068311.4699999997</v>
      </c>
      <c r="E32" s="84">
        <f>2584355.77+1546067.66</f>
        <v>4130423.4299999997</v>
      </c>
      <c r="F32" s="84">
        <f>D32</f>
        <v>4068311.4699999997</v>
      </c>
      <c r="G32" s="84">
        <f t="shared" si="3"/>
        <v>-62111.95999999996</v>
      </c>
    </row>
    <row r="33" spans="1:7" ht="18" customHeight="1">
      <c r="A33" s="231" t="s">
        <v>192</v>
      </c>
      <c r="B33" s="327" t="s">
        <v>272</v>
      </c>
      <c r="C33" s="329"/>
      <c r="D33" s="330">
        <f>(500*12)+(500*12)+(500*12)+(500*12)+(500*12)</f>
        <v>30000</v>
      </c>
      <c r="E33" s="330">
        <v>18045</v>
      </c>
      <c r="F33" s="330">
        <v>0</v>
      </c>
      <c r="G33" s="330">
        <f>D33-E33</f>
        <v>11955</v>
      </c>
    </row>
    <row r="34" spans="1:7" ht="18" customHeight="1">
      <c r="A34" s="430"/>
      <c r="B34" s="419"/>
      <c r="C34" s="487" t="s">
        <v>557</v>
      </c>
      <c r="D34" s="488"/>
      <c r="E34" s="488"/>
      <c r="F34" s="488"/>
      <c r="G34" s="424">
        <f>E33-(E33*15%)</f>
        <v>15338.25</v>
      </c>
    </row>
    <row r="35" spans="1:10" s="102" customFormat="1" ht="15.75" thickBot="1">
      <c r="A35" s="446" t="s">
        <v>294</v>
      </c>
      <c r="B35" s="447"/>
      <c r="C35" s="447"/>
      <c r="D35" s="448"/>
      <c r="E35" s="448"/>
      <c r="F35" s="448"/>
      <c r="G35" s="101"/>
      <c r="H35" s="101"/>
      <c r="I35" s="101"/>
      <c r="J35" s="101"/>
    </row>
    <row r="36" spans="1:9" s="67" customFormat="1" ht="15.75" thickBot="1">
      <c r="A36" s="455" t="s">
        <v>413</v>
      </c>
      <c r="B36" s="456"/>
      <c r="C36" s="456"/>
      <c r="D36" s="65">
        <f>1784241.21+947275.15</f>
        <v>2731516.36</v>
      </c>
      <c r="E36" s="66"/>
      <c r="F36" s="66"/>
      <c r="G36" s="66"/>
      <c r="H36" s="62"/>
      <c r="I36" s="62"/>
    </row>
    <row r="37" spans="1:9" s="67" customFormat="1" ht="5.25" customHeight="1" thickBot="1">
      <c r="A37" s="68"/>
      <c r="B37" s="68"/>
      <c r="C37" s="68"/>
      <c r="D37" s="40"/>
      <c r="E37" s="66"/>
      <c r="F37" s="66"/>
      <c r="G37" s="66"/>
      <c r="H37" s="62"/>
      <c r="I37" s="62"/>
    </row>
    <row r="38" spans="1:9" s="67" customFormat="1" ht="15.75" thickBot="1">
      <c r="A38" s="63" t="s">
        <v>415</v>
      </c>
      <c r="B38" s="64"/>
      <c r="C38" s="64"/>
      <c r="D38" s="69"/>
      <c r="E38" s="70"/>
      <c r="F38" s="70"/>
      <c r="G38" s="161">
        <f>G14+E26-F26</f>
        <v>-90880.26499999981</v>
      </c>
      <c r="H38" s="232"/>
      <c r="I38" s="62"/>
    </row>
    <row r="39" spans="1:9" s="67" customFormat="1" ht="5.25" customHeight="1">
      <c r="A39" s="68"/>
      <c r="B39" s="68"/>
      <c r="C39" s="68"/>
      <c r="D39" s="40"/>
      <c r="E39" s="66"/>
      <c r="F39" s="66"/>
      <c r="G39" s="40"/>
      <c r="H39" s="62"/>
      <c r="I39" s="62"/>
    </row>
    <row r="40" spans="1:9" s="67" customFormat="1" ht="15">
      <c r="A40" s="516" t="s">
        <v>144</v>
      </c>
      <c r="B40" s="516"/>
      <c r="C40" s="68"/>
      <c r="D40" s="40"/>
      <c r="E40" s="66"/>
      <c r="F40" s="66"/>
      <c r="G40" s="40"/>
      <c r="H40" s="62"/>
      <c r="I40" s="62"/>
    </row>
    <row r="41" spans="1:9" s="67" customFormat="1" ht="15">
      <c r="A41" s="599" t="s">
        <v>145</v>
      </c>
      <c r="B41" s="600"/>
      <c r="C41" s="44" t="s">
        <v>146</v>
      </c>
      <c r="D41" s="44" t="s">
        <v>147</v>
      </c>
      <c r="E41" s="45" t="s">
        <v>148</v>
      </c>
      <c r="F41" s="42" t="s">
        <v>149</v>
      </c>
      <c r="G41" s="45" t="s">
        <v>150</v>
      </c>
      <c r="H41" s="62"/>
      <c r="I41" s="62"/>
    </row>
    <row r="42" spans="1:9" s="67" customFormat="1" ht="15">
      <c r="A42" s="601"/>
      <c r="B42" s="602"/>
      <c r="C42" s="294">
        <f>99+104.6+151.9+98.9+105.9+88.2+137.3+101.8+97.9</f>
        <v>985.4999999999999</v>
      </c>
      <c r="D42" s="153">
        <f>E42/C42/12</f>
        <v>20.460691696262476</v>
      </c>
      <c r="E42" s="81">
        <f>24802.8+44303.98+23451.12+25110.96+20913.96+32556.6+70828.72</f>
        <v>241968.13999999998</v>
      </c>
      <c r="F42" s="81">
        <f>24801+40597.64+24713.08+26462.24+20605.26+32076.05+70827.72</f>
        <v>240082.99</v>
      </c>
      <c r="G42" s="153">
        <f>E42-F42</f>
        <v>1885.1499999999942</v>
      </c>
      <c r="H42" s="62"/>
      <c r="I42" s="62"/>
    </row>
    <row r="43" spans="1:9" ht="35.25" customHeight="1">
      <c r="A43" s="537" t="s">
        <v>479</v>
      </c>
      <c r="B43" s="594"/>
      <c r="C43" s="594"/>
      <c r="D43" s="594"/>
      <c r="E43" s="594"/>
      <c r="F43" s="594"/>
      <c r="G43" s="594"/>
      <c r="H43" s="196"/>
      <c r="I43" s="196"/>
    </row>
    <row r="45" spans="1:9" s="171" customFormat="1" ht="28.5" customHeight="1">
      <c r="A45" s="105" t="s">
        <v>11</v>
      </c>
      <c r="B45" s="598" t="s">
        <v>45</v>
      </c>
      <c r="C45" s="598"/>
      <c r="D45" s="598"/>
      <c r="E45" s="105" t="s">
        <v>163</v>
      </c>
      <c r="F45" s="105" t="s">
        <v>162</v>
      </c>
      <c r="G45" s="105" t="s">
        <v>46</v>
      </c>
      <c r="H45" s="235"/>
      <c r="I45" s="113"/>
    </row>
    <row r="46" spans="1:9" s="114" customFormat="1" ht="15">
      <c r="A46" s="109" t="s">
        <v>47</v>
      </c>
      <c r="B46" s="597" t="s">
        <v>111</v>
      </c>
      <c r="C46" s="597"/>
      <c r="D46" s="597"/>
      <c r="E46" s="172"/>
      <c r="F46" s="172"/>
      <c r="G46" s="276">
        <f>SUM(G47:I62)</f>
        <v>218419.3291</v>
      </c>
      <c r="H46" s="277"/>
      <c r="I46" s="278"/>
    </row>
    <row r="47" spans="1:9" ht="15" customHeight="1">
      <c r="A47" s="34" t="s">
        <v>16</v>
      </c>
      <c r="B47" s="595" t="s">
        <v>631</v>
      </c>
      <c r="C47" s="595"/>
      <c r="D47" s="595"/>
      <c r="E47" s="407" t="s">
        <v>217</v>
      </c>
      <c r="F47" s="407">
        <v>0.01</v>
      </c>
      <c r="G47" s="393">
        <v>9319.71</v>
      </c>
      <c r="H47" s="279"/>
      <c r="I47" s="279"/>
    </row>
    <row r="48" spans="1:9" ht="15" customHeight="1">
      <c r="A48" s="34" t="s">
        <v>18</v>
      </c>
      <c r="B48" s="595" t="s">
        <v>635</v>
      </c>
      <c r="C48" s="595"/>
      <c r="D48" s="595"/>
      <c r="E48" s="407" t="s">
        <v>164</v>
      </c>
      <c r="F48" s="407">
        <v>3</v>
      </c>
      <c r="G48" s="393">
        <v>21048.09</v>
      </c>
      <c r="H48" s="279"/>
      <c r="I48" s="279"/>
    </row>
    <row r="49" spans="1:9" ht="15" customHeight="1">
      <c r="A49" s="34" t="s">
        <v>20</v>
      </c>
      <c r="B49" s="595" t="s">
        <v>633</v>
      </c>
      <c r="C49" s="595"/>
      <c r="D49" s="595"/>
      <c r="E49" s="407" t="s">
        <v>217</v>
      </c>
      <c r="F49" s="407">
        <v>0.01</v>
      </c>
      <c r="G49" s="393">
        <v>2567.34</v>
      </c>
      <c r="H49" s="279"/>
      <c r="I49" s="279"/>
    </row>
    <row r="50" spans="1:9" ht="15">
      <c r="A50" s="34" t="s">
        <v>22</v>
      </c>
      <c r="B50" s="595" t="s">
        <v>634</v>
      </c>
      <c r="C50" s="595"/>
      <c r="D50" s="595"/>
      <c r="E50" s="407" t="s">
        <v>217</v>
      </c>
      <c r="F50" s="407">
        <v>0.01</v>
      </c>
      <c r="G50" s="393">
        <v>17223.44</v>
      </c>
      <c r="H50" s="279"/>
      <c r="I50" s="279"/>
    </row>
    <row r="51" spans="1:9" ht="15" customHeight="1">
      <c r="A51" s="34" t="s">
        <v>24</v>
      </c>
      <c r="B51" s="595" t="s">
        <v>547</v>
      </c>
      <c r="C51" s="595"/>
      <c r="D51" s="595"/>
      <c r="E51" s="407" t="s">
        <v>217</v>
      </c>
      <c r="F51" s="407">
        <v>0.02</v>
      </c>
      <c r="G51" s="393">
        <v>1607.38</v>
      </c>
      <c r="H51" s="279"/>
      <c r="I51" s="279"/>
    </row>
    <row r="52" spans="1:9" ht="15" customHeight="1">
      <c r="A52" s="34" t="s">
        <v>103</v>
      </c>
      <c r="B52" s="595" t="s">
        <v>636</v>
      </c>
      <c r="C52" s="595"/>
      <c r="D52" s="595"/>
      <c r="E52" s="407" t="s">
        <v>164</v>
      </c>
      <c r="F52" s="407">
        <v>1</v>
      </c>
      <c r="G52" s="393">
        <v>9250.66</v>
      </c>
      <c r="H52" s="279"/>
      <c r="I52" s="279"/>
    </row>
    <row r="53" spans="1:9" ht="15" customHeight="1">
      <c r="A53" s="34" t="s">
        <v>104</v>
      </c>
      <c r="B53" s="595" t="s">
        <v>538</v>
      </c>
      <c r="C53" s="595"/>
      <c r="D53" s="595"/>
      <c r="E53" s="407" t="s">
        <v>164</v>
      </c>
      <c r="F53" s="407">
        <v>1</v>
      </c>
      <c r="G53" s="393">
        <v>37020</v>
      </c>
      <c r="H53" s="279"/>
      <c r="I53" s="279"/>
    </row>
    <row r="54" spans="1:9" ht="15" customHeight="1">
      <c r="A54" s="34" t="s">
        <v>117</v>
      </c>
      <c r="B54" s="595" t="s">
        <v>394</v>
      </c>
      <c r="C54" s="595"/>
      <c r="D54" s="595"/>
      <c r="E54" s="407" t="s">
        <v>164</v>
      </c>
      <c r="F54" s="407">
        <v>2</v>
      </c>
      <c r="G54" s="393">
        <v>6768</v>
      </c>
      <c r="H54" s="180"/>
      <c r="I54" s="180"/>
    </row>
    <row r="55" spans="1:9" ht="18.75" customHeight="1">
      <c r="A55" s="34" t="s">
        <v>118</v>
      </c>
      <c r="B55" s="595" t="s">
        <v>539</v>
      </c>
      <c r="C55" s="595"/>
      <c r="D55" s="595"/>
      <c r="E55" s="407" t="s">
        <v>164</v>
      </c>
      <c r="F55" s="407">
        <v>1</v>
      </c>
      <c r="G55" s="393">
        <v>4970</v>
      </c>
      <c r="H55" s="180"/>
      <c r="I55" s="180"/>
    </row>
    <row r="56" spans="1:9" ht="15" customHeight="1">
      <c r="A56" s="34" t="s">
        <v>119</v>
      </c>
      <c r="B56" s="595" t="s">
        <v>637</v>
      </c>
      <c r="C56" s="595"/>
      <c r="D56" s="595"/>
      <c r="E56" s="407"/>
      <c r="F56" s="407"/>
      <c r="G56" s="438">
        <v>68000</v>
      </c>
      <c r="H56" s="180"/>
      <c r="I56" s="180"/>
    </row>
    <row r="57" spans="1:9" ht="15" customHeight="1">
      <c r="A57" s="34" t="s">
        <v>139</v>
      </c>
      <c r="B57" s="595" t="s">
        <v>638</v>
      </c>
      <c r="C57" s="595"/>
      <c r="D57" s="595"/>
      <c r="E57" s="407"/>
      <c r="F57" s="407"/>
      <c r="G57" s="393">
        <v>2450</v>
      </c>
      <c r="H57" s="180"/>
      <c r="I57" s="180"/>
    </row>
    <row r="58" spans="1:9" ht="15" customHeight="1">
      <c r="A58" s="34" t="s">
        <v>141</v>
      </c>
      <c r="B58" s="595" t="s">
        <v>639</v>
      </c>
      <c r="C58" s="595"/>
      <c r="D58" s="595"/>
      <c r="E58" s="407"/>
      <c r="F58" s="407"/>
      <c r="G58" s="438">
        <v>8100</v>
      </c>
      <c r="H58" s="180"/>
      <c r="I58" s="180"/>
    </row>
    <row r="59" spans="1:9" ht="15" customHeight="1">
      <c r="A59" s="34" t="s">
        <v>142</v>
      </c>
      <c r="B59" s="595" t="s">
        <v>630</v>
      </c>
      <c r="C59" s="595"/>
      <c r="D59" s="595"/>
      <c r="E59" s="407"/>
      <c r="F59" s="407"/>
      <c r="G59" s="438">
        <v>2400</v>
      </c>
      <c r="H59" s="180"/>
      <c r="I59" s="180"/>
    </row>
    <row r="60" spans="1:9" ht="15" customHeight="1">
      <c r="A60" s="34" t="s">
        <v>257</v>
      </c>
      <c r="B60" s="595" t="s">
        <v>797</v>
      </c>
      <c r="C60" s="595"/>
      <c r="D60" s="595"/>
      <c r="E60" s="407" t="s">
        <v>164</v>
      </c>
      <c r="F60" s="407">
        <v>8</v>
      </c>
      <c r="G60" s="438">
        <v>4230</v>
      </c>
      <c r="H60" s="180"/>
      <c r="I60" s="180"/>
    </row>
    <row r="61" spans="1:9" ht="15" customHeight="1">
      <c r="A61" s="34" t="s">
        <v>281</v>
      </c>
      <c r="B61" s="603" t="s">
        <v>817</v>
      </c>
      <c r="C61" s="603"/>
      <c r="D61" s="603"/>
      <c r="E61" s="151" t="s">
        <v>391</v>
      </c>
      <c r="F61" s="151">
        <v>8</v>
      </c>
      <c r="G61" s="653">
        <v>19600</v>
      </c>
      <c r="H61" s="180"/>
      <c r="I61" s="180"/>
    </row>
    <row r="62" spans="1:9" s="67" customFormat="1" ht="15">
      <c r="A62" s="34" t="s">
        <v>281</v>
      </c>
      <c r="B62" s="596" t="s">
        <v>188</v>
      </c>
      <c r="C62" s="596"/>
      <c r="D62" s="596"/>
      <c r="E62" s="190"/>
      <c r="F62" s="190"/>
      <c r="G62" s="120">
        <f>E26*1%</f>
        <v>3864.7091000000005</v>
      </c>
      <c r="H62" s="279"/>
      <c r="I62" s="279"/>
    </row>
    <row r="63" s="67" customFormat="1" ht="15"/>
    <row r="64" spans="1:8" ht="15">
      <c r="A64" s="67" t="s">
        <v>55</v>
      </c>
      <c r="B64" s="67"/>
      <c r="C64" s="67" t="s">
        <v>49</v>
      </c>
      <c r="D64" s="67"/>
      <c r="E64" s="67"/>
      <c r="F64" s="67"/>
      <c r="G64" s="67" t="s">
        <v>90</v>
      </c>
      <c r="H64" s="67"/>
    </row>
    <row r="65" spans="1:8" ht="15">
      <c r="A65" s="67"/>
      <c r="B65" s="67"/>
      <c r="C65" s="67"/>
      <c r="D65" s="67"/>
      <c r="E65" s="67"/>
      <c r="F65" s="67"/>
      <c r="G65" s="126" t="s">
        <v>545</v>
      </c>
      <c r="H65" s="126"/>
    </row>
    <row r="66" spans="1:8" ht="15">
      <c r="A66" s="67" t="s">
        <v>50</v>
      </c>
      <c r="B66" s="67"/>
      <c r="C66" s="67"/>
      <c r="D66" s="67"/>
      <c r="E66" s="67"/>
      <c r="F66" s="67"/>
      <c r="G66" s="67"/>
      <c r="H66" s="67"/>
    </row>
    <row r="67" spans="1:8" ht="15">
      <c r="A67" s="67"/>
      <c r="B67" s="67"/>
      <c r="C67" s="128" t="s">
        <v>51</v>
      </c>
      <c r="D67" s="128"/>
      <c r="E67" s="67"/>
      <c r="F67" s="128"/>
      <c r="G67" s="128"/>
      <c r="H67" s="128"/>
    </row>
  </sheetData>
  <sheetProtection/>
  <mergeCells count="31">
    <mergeCell ref="B61:D61"/>
    <mergeCell ref="B45:D45"/>
    <mergeCell ref="A43:G43"/>
    <mergeCell ref="B54:D54"/>
    <mergeCell ref="A41:B42"/>
    <mergeCell ref="A1:G1"/>
    <mergeCell ref="A2:G2"/>
    <mergeCell ref="A3:G3"/>
    <mergeCell ref="A5:G5"/>
    <mergeCell ref="A10:G10"/>
    <mergeCell ref="C34:F34"/>
    <mergeCell ref="B62:D62"/>
    <mergeCell ref="B51:D51"/>
    <mergeCell ref="B52:D52"/>
    <mergeCell ref="B53:D53"/>
    <mergeCell ref="B58:D58"/>
    <mergeCell ref="A11:G11"/>
    <mergeCell ref="A12:G12"/>
    <mergeCell ref="B47:D47"/>
    <mergeCell ref="B48:D48"/>
    <mergeCell ref="B46:D46"/>
    <mergeCell ref="B59:D59"/>
    <mergeCell ref="B60:D60"/>
    <mergeCell ref="B56:D56"/>
    <mergeCell ref="B57:D57"/>
    <mergeCell ref="B55:D55"/>
    <mergeCell ref="A35:F35"/>
    <mergeCell ref="A36:C36"/>
    <mergeCell ref="B50:D50"/>
    <mergeCell ref="A40:B40"/>
    <mergeCell ref="B49:D49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FF00"/>
  </sheetPr>
  <dimension ref="A1:M58"/>
  <sheetViews>
    <sheetView zoomScalePageLayoutView="0" workbookViewId="0" topLeftCell="A40">
      <selection activeCell="A54" sqref="A54"/>
    </sheetView>
  </sheetViews>
  <sheetFormatPr defaultColWidth="9.140625" defaultRowHeight="15" outlineLevelCol="1"/>
  <cols>
    <col min="1" max="1" width="6.28125" style="35" customWidth="1"/>
    <col min="2" max="2" width="44.140625" style="35" customWidth="1"/>
    <col min="3" max="3" width="13.00390625" style="35" customWidth="1"/>
    <col min="4" max="4" width="16.7109375" style="35" customWidth="1"/>
    <col min="5" max="5" width="12.7109375" style="35" customWidth="1"/>
    <col min="6" max="6" width="15.00390625" style="35" customWidth="1"/>
    <col min="7" max="7" width="14.003906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0.00390625" style="228" bestFit="1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5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15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5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7" spans="1:6" s="67" customFormat="1" ht="15">
      <c r="A7" s="67" t="s">
        <v>2</v>
      </c>
      <c r="F7" s="126" t="s">
        <v>135</v>
      </c>
    </row>
    <row r="8" spans="1:10" s="67" customFormat="1" ht="15">
      <c r="A8" s="67" t="s">
        <v>3</v>
      </c>
      <c r="F8" s="291" t="s">
        <v>362</v>
      </c>
      <c r="H8" s="167">
        <v>111.9</v>
      </c>
      <c r="I8" s="229">
        <f>9269.5</f>
        <v>9269.5</v>
      </c>
      <c r="J8" s="208">
        <f>H8+I8</f>
        <v>9381.4</v>
      </c>
    </row>
    <row r="9" spans="2:6" s="67" customFormat="1" ht="15">
      <c r="B9" s="67" t="s">
        <v>507</v>
      </c>
      <c r="F9" s="291" t="s">
        <v>523</v>
      </c>
    </row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15.75" thickBot="1">
      <c r="A13" s="68"/>
      <c r="B13" s="68"/>
      <c r="C13" s="68"/>
      <c r="D13" s="216"/>
      <c r="E13" s="66"/>
      <c r="F13" s="66"/>
      <c r="G13" s="66"/>
      <c r="H13" s="62"/>
      <c r="I13" s="62"/>
    </row>
    <row r="14" spans="1:9" s="67" customFormat="1" ht="15.75" thickBot="1">
      <c r="A14" s="63" t="s">
        <v>336</v>
      </c>
      <c r="B14" s="64"/>
      <c r="C14" s="64"/>
      <c r="D14" s="69"/>
      <c r="E14" s="70"/>
      <c r="F14" s="70"/>
      <c r="G14" s="65">
        <f>'[2]Солнечный б-р 4'!$G$37</f>
        <v>483852.2735999999</v>
      </c>
      <c r="H14" s="62"/>
      <c r="I14" s="62"/>
    </row>
    <row r="15" s="67" customFormat="1" ht="15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</row>
    <row r="17" spans="1:12" s="167" customFormat="1" ht="28.5">
      <c r="A17" s="75" t="s">
        <v>14</v>
      </c>
      <c r="B17" s="41" t="s">
        <v>15</v>
      </c>
      <c r="C17" s="97">
        <f>SUM(C18:C22)</f>
        <v>13.68</v>
      </c>
      <c r="D17" s="76">
        <v>1552817.59</v>
      </c>
      <c r="E17" s="76">
        <v>1526522.08</v>
      </c>
      <c r="F17" s="76">
        <f aca="true" t="shared" si="0" ref="F17:F25">D17</f>
        <v>1552817.59</v>
      </c>
      <c r="G17" s="77">
        <f aca="true" t="shared" si="1" ref="G17:G22">D17-E17</f>
        <v>26295.51000000001</v>
      </c>
      <c r="H17" s="136">
        <f aca="true" t="shared" si="2" ref="H17:H22">C17</f>
        <v>13.68</v>
      </c>
      <c r="L17" s="167">
        <f>D17/12/C17</f>
        <v>9459.171479044835</v>
      </c>
    </row>
    <row r="18" spans="1:9" s="67" customFormat="1" ht="15">
      <c r="A18" s="81" t="s">
        <v>16</v>
      </c>
      <c r="B18" s="34" t="s">
        <v>17</v>
      </c>
      <c r="C18" s="82">
        <v>3.46</v>
      </c>
      <c r="D18" s="83">
        <f>D17*I18</f>
        <v>392744.79980994156</v>
      </c>
      <c r="E18" s="83">
        <f>E17*I18</f>
        <v>386094.03485380125</v>
      </c>
      <c r="F18" s="83">
        <f t="shared" si="0"/>
        <v>392744.79980994156</v>
      </c>
      <c r="G18" s="84">
        <f t="shared" si="1"/>
        <v>6650.764956140309</v>
      </c>
      <c r="H18" s="78">
        <f t="shared" si="2"/>
        <v>3.46</v>
      </c>
      <c r="I18" s="67">
        <f>H18/H17</f>
        <v>0.25292397660818716</v>
      </c>
    </row>
    <row r="19" spans="1:9" s="67" customFormat="1" ht="15">
      <c r="A19" s="81" t="s">
        <v>18</v>
      </c>
      <c r="B19" s="34" t="s">
        <v>19</v>
      </c>
      <c r="C19" s="82">
        <v>1.69</v>
      </c>
      <c r="D19" s="83">
        <f>D17*I19</f>
        <v>191831.99759502924</v>
      </c>
      <c r="E19" s="83">
        <f>E17*I19</f>
        <v>188583.50257309942</v>
      </c>
      <c r="F19" s="83">
        <f t="shared" si="0"/>
        <v>191831.99759502924</v>
      </c>
      <c r="G19" s="84">
        <f t="shared" si="1"/>
        <v>3248.495021929819</v>
      </c>
      <c r="H19" s="78">
        <f t="shared" si="2"/>
        <v>1.69</v>
      </c>
      <c r="I19" s="67">
        <f>H19/H17</f>
        <v>0.12353801169590643</v>
      </c>
    </row>
    <row r="20" spans="1:9" s="67" customFormat="1" ht="15">
      <c r="A20" s="81" t="s">
        <v>20</v>
      </c>
      <c r="B20" s="34" t="s">
        <v>21</v>
      </c>
      <c r="C20" s="82">
        <v>1.99</v>
      </c>
      <c r="D20" s="83">
        <f>D17*I20</f>
        <v>225885.01491959064</v>
      </c>
      <c r="E20" s="83">
        <f>E17*I20</f>
        <v>222059.8639766082</v>
      </c>
      <c r="F20" s="83">
        <f t="shared" si="0"/>
        <v>225885.01491959064</v>
      </c>
      <c r="G20" s="84">
        <f t="shared" si="1"/>
        <v>3825.1509429824364</v>
      </c>
      <c r="H20" s="78">
        <f t="shared" si="2"/>
        <v>1.99</v>
      </c>
      <c r="I20" s="67">
        <f>H20/H17</f>
        <v>0.14546783625730994</v>
      </c>
    </row>
    <row r="21" spans="1:9" s="67" customFormat="1" ht="15">
      <c r="A21" s="81" t="s">
        <v>22</v>
      </c>
      <c r="B21" s="34" t="s">
        <v>23</v>
      </c>
      <c r="C21" s="82">
        <v>3.04</v>
      </c>
      <c r="D21" s="83">
        <f>D17*I21</f>
        <v>345070.5755555556</v>
      </c>
      <c r="E21" s="83">
        <f>E17*I21</f>
        <v>339227.1288888889</v>
      </c>
      <c r="F21" s="83">
        <f t="shared" si="0"/>
        <v>345070.5755555556</v>
      </c>
      <c r="G21" s="84">
        <f t="shared" si="1"/>
        <v>5843.446666666656</v>
      </c>
      <c r="H21" s="78">
        <f t="shared" si="2"/>
        <v>3.04</v>
      </c>
      <c r="I21" s="67">
        <f>H21/H17</f>
        <v>0.22222222222222224</v>
      </c>
    </row>
    <row r="22" spans="1:9" s="67" customFormat="1" ht="15">
      <c r="A22" s="81" t="s">
        <v>24</v>
      </c>
      <c r="B22" s="34" t="s">
        <v>143</v>
      </c>
      <c r="C22" s="82">
        <v>3.5</v>
      </c>
      <c r="D22" s="83">
        <f>D17*I22</f>
        <v>397285.20211988303</v>
      </c>
      <c r="E22" s="83">
        <f>E17*I22</f>
        <v>390557.54970760236</v>
      </c>
      <c r="F22" s="83">
        <f>D22</f>
        <v>397285.20211988303</v>
      </c>
      <c r="G22" s="84">
        <f t="shared" si="1"/>
        <v>6727.652412280673</v>
      </c>
      <c r="H22" s="78">
        <f t="shared" si="2"/>
        <v>3.5</v>
      </c>
      <c r="I22" s="67">
        <f>H22/H17</f>
        <v>0.25584795321637427</v>
      </c>
    </row>
    <row r="23" spans="1:13" s="39" customFormat="1" ht="15">
      <c r="A23" s="41" t="s">
        <v>25</v>
      </c>
      <c r="B23" s="41" t="s">
        <v>26</v>
      </c>
      <c r="C23" s="97">
        <v>3.86</v>
      </c>
      <c r="D23" s="77">
        <v>433088.94</v>
      </c>
      <c r="E23" s="77">
        <v>429180.73</v>
      </c>
      <c r="F23" s="76">
        <f t="shared" si="0"/>
        <v>433088.94</v>
      </c>
      <c r="G23" s="77">
        <f aca="true" t="shared" si="3" ref="G23:G33">D23-E23</f>
        <v>3908.210000000021</v>
      </c>
      <c r="M23" s="230"/>
    </row>
    <row r="24" spans="1:13" s="39" customFormat="1" ht="15">
      <c r="A24" s="41" t="s">
        <v>27</v>
      </c>
      <c r="B24" s="41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3"/>
        <v>0</v>
      </c>
      <c r="M24" s="230"/>
    </row>
    <row r="25" spans="1:13" s="39" customFormat="1" ht="15">
      <c r="A25" s="41" t="s">
        <v>29</v>
      </c>
      <c r="B25" s="41" t="s">
        <v>30</v>
      </c>
      <c r="C25" s="97">
        <v>0</v>
      </c>
      <c r="D25" s="77">
        <v>0</v>
      </c>
      <c r="E25" s="77">
        <v>0</v>
      </c>
      <c r="F25" s="77">
        <f t="shared" si="0"/>
        <v>0</v>
      </c>
      <c r="G25" s="77">
        <f t="shared" si="3"/>
        <v>0</v>
      </c>
      <c r="M25" s="230"/>
    </row>
    <row r="26" spans="1:13" s="39" customFormat="1" ht="15">
      <c r="A26" s="41" t="s">
        <v>31</v>
      </c>
      <c r="B26" s="41" t="s">
        <v>116</v>
      </c>
      <c r="C26" s="97">
        <v>2.06</v>
      </c>
      <c r="D26" s="77">
        <v>231909.12</v>
      </c>
      <c r="E26" s="77">
        <v>229776.05</v>
      </c>
      <c r="F26" s="87">
        <f>G42</f>
        <v>100483.8505</v>
      </c>
      <c r="G26" s="77">
        <f t="shared" si="3"/>
        <v>2133.070000000007</v>
      </c>
      <c r="M26" s="233"/>
    </row>
    <row r="27" spans="1:13" s="39" customFormat="1" ht="15">
      <c r="A27" s="41" t="s">
        <v>33</v>
      </c>
      <c r="B27" s="41" t="s">
        <v>161</v>
      </c>
      <c r="C27" s="46" t="s">
        <v>297</v>
      </c>
      <c r="D27" s="77">
        <v>0</v>
      </c>
      <c r="E27" s="77">
        <v>0</v>
      </c>
      <c r="F27" s="87">
        <f>D27</f>
        <v>0</v>
      </c>
      <c r="G27" s="77">
        <f t="shared" si="3"/>
        <v>0</v>
      </c>
      <c r="M27" s="230"/>
    </row>
    <row r="28" spans="1:13" s="39" customFormat="1" ht="15">
      <c r="A28" s="41" t="s">
        <v>35</v>
      </c>
      <c r="B28" s="41" t="s">
        <v>36</v>
      </c>
      <c r="C28" s="97">
        <f>SUM(C29:C32)</f>
        <v>2410.09</v>
      </c>
      <c r="D28" s="77">
        <f>SUM(D29:D32)</f>
        <v>6008133.24</v>
      </c>
      <c r="E28" s="77">
        <f>SUM(E29:E32)</f>
        <v>5957172.74</v>
      </c>
      <c r="F28" s="77">
        <f>SUM(F29:F32)</f>
        <v>6008133.24</v>
      </c>
      <c r="G28" s="77">
        <f t="shared" si="3"/>
        <v>50960.5</v>
      </c>
      <c r="M28" s="230"/>
    </row>
    <row r="29" spans="1:7" ht="15">
      <c r="A29" s="34" t="s">
        <v>37</v>
      </c>
      <c r="B29" s="34" t="s">
        <v>171</v>
      </c>
      <c r="C29" s="293">
        <v>6</v>
      </c>
      <c r="D29" s="84">
        <v>1626426.64</v>
      </c>
      <c r="E29" s="84">
        <v>1600356.63</v>
      </c>
      <c r="F29" s="84">
        <f>D29</f>
        <v>1626426.64</v>
      </c>
      <c r="G29" s="84">
        <f t="shared" si="3"/>
        <v>26070.01000000001</v>
      </c>
    </row>
    <row r="30" spans="1:7" ht="15">
      <c r="A30" s="34" t="s">
        <v>39</v>
      </c>
      <c r="B30" s="34" t="s">
        <v>137</v>
      </c>
      <c r="C30" s="285">
        <v>57.08</v>
      </c>
      <c r="D30" s="84">
        <v>727290.57</v>
      </c>
      <c r="E30" s="84">
        <v>725660.3</v>
      </c>
      <c r="F30" s="84">
        <f>D30</f>
        <v>727290.57</v>
      </c>
      <c r="G30" s="84">
        <f t="shared" si="3"/>
        <v>1630.2699999999022</v>
      </c>
    </row>
    <row r="31" spans="1:7" ht="15">
      <c r="A31" s="34" t="s">
        <v>42</v>
      </c>
      <c r="B31" s="34" t="s">
        <v>340</v>
      </c>
      <c r="C31" s="286">
        <v>179.86</v>
      </c>
      <c r="D31" s="84">
        <v>1211657.1</v>
      </c>
      <c r="E31" s="84">
        <v>1227008.16</v>
      </c>
      <c r="F31" s="84">
        <f>D31</f>
        <v>1211657.1</v>
      </c>
      <c r="G31" s="84">
        <f t="shared" si="3"/>
        <v>-15351.059999999823</v>
      </c>
    </row>
    <row r="32" spans="1:7" ht="15">
      <c r="A32" s="34" t="s">
        <v>41</v>
      </c>
      <c r="B32" s="34" t="s">
        <v>43</v>
      </c>
      <c r="C32" s="286">
        <v>2167.15</v>
      </c>
      <c r="D32" s="84">
        <v>2442758.93</v>
      </c>
      <c r="E32" s="84">
        <v>2404147.65</v>
      </c>
      <c r="F32" s="84">
        <f>D32</f>
        <v>2442758.93</v>
      </c>
      <c r="G32" s="84">
        <f t="shared" si="3"/>
        <v>38611.28000000026</v>
      </c>
    </row>
    <row r="33" spans="1:13" s="47" customFormat="1" ht="15">
      <c r="A33" s="52" t="s">
        <v>192</v>
      </c>
      <c r="B33" s="327" t="s">
        <v>272</v>
      </c>
      <c r="C33" s="331"/>
      <c r="D33" s="330">
        <f>(500*12)+(500*12)+(500*12)+(500*12)+(500*12)</f>
        <v>30000</v>
      </c>
      <c r="E33" s="331">
        <v>18045</v>
      </c>
      <c r="F33" s="331">
        <v>0</v>
      </c>
      <c r="G33" s="310">
        <f t="shared" si="3"/>
        <v>11955</v>
      </c>
      <c r="M33" s="48"/>
    </row>
    <row r="34" spans="1:13" s="47" customFormat="1" ht="15">
      <c r="A34" s="429"/>
      <c r="B34" s="419"/>
      <c r="C34" s="487" t="s">
        <v>557</v>
      </c>
      <c r="D34" s="488"/>
      <c r="E34" s="488"/>
      <c r="F34" s="488"/>
      <c r="G34" s="424">
        <f>E33-(E33*15%)</f>
        <v>15338.25</v>
      </c>
      <c r="M34" s="48"/>
    </row>
    <row r="35" spans="1:10" s="102" customFormat="1" ht="17.25" customHeight="1" thickBot="1">
      <c r="A35" s="446" t="s">
        <v>294</v>
      </c>
      <c r="B35" s="447"/>
      <c r="C35" s="447"/>
      <c r="D35" s="448"/>
      <c r="E35" s="448"/>
      <c r="F35" s="448"/>
      <c r="G35" s="101"/>
      <c r="H35" s="101"/>
      <c r="I35" s="101"/>
      <c r="J35" s="101"/>
    </row>
    <row r="36" spans="1:9" s="67" customFormat="1" ht="15.75" thickBot="1">
      <c r="A36" s="455" t="s">
        <v>413</v>
      </c>
      <c r="B36" s="456"/>
      <c r="C36" s="456"/>
      <c r="D36" s="65">
        <v>1618272.16</v>
      </c>
      <c r="E36" s="66"/>
      <c r="F36" s="66"/>
      <c r="G36" s="66"/>
      <c r="H36" s="62"/>
      <c r="I36" s="62"/>
    </row>
    <row r="37" spans="1:9" s="67" customFormat="1" ht="8.25" customHeight="1" thickBot="1">
      <c r="A37" s="68"/>
      <c r="B37" s="68"/>
      <c r="C37" s="68"/>
      <c r="D37" s="40"/>
      <c r="E37" s="66"/>
      <c r="F37" s="66"/>
      <c r="G37" s="66"/>
      <c r="H37" s="62"/>
      <c r="I37" s="62"/>
    </row>
    <row r="38" spans="1:13" s="67" customFormat="1" ht="15.75" thickBot="1">
      <c r="A38" s="63" t="s">
        <v>415</v>
      </c>
      <c r="B38" s="64"/>
      <c r="C38" s="64"/>
      <c r="D38" s="69"/>
      <c r="E38" s="70"/>
      <c r="F38" s="70"/>
      <c r="G38" s="144">
        <f>G14+E26-F26</f>
        <v>613144.4730999998</v>
      </c>
      <c r="H38" s="62"/>
      <c r="I38" s="62"/>
      <c r="M38" s="145"/>
    </row>
    <row r="39" spans="1:9" ht="35.25" customHeight="1">
      <c r="A39" s="537" t="s">
        <v>44</v>
      </c>
      <c r="B39" s="594"/>
      <c r="C39" s="594"/>
      <c r="D39" s="594"/>
      <c r="E39" s="594"/>
      <c r="F39" s="594"/>
      <c r="G39" s="594"/>
      <c r="H39" s="196"/>
      <c r="I39" s="196"/>
    </row>
    <row r="40" ht="9" customHeight="1"/>
    <row r="41" spans="1:9" s="171" customFormat="1" ht="28.5" customHeight="1">
      <c r="A41" s="105" t="s">
        <v>11</v>
      </c>
      <c r="B41" s="598" t="s">
        <v>45</v>
      </c>
      <c r="C41" s="598"/>
      <c r="D41" s="598"/>
      <c r="E41" s="105" t="s">
        <v>163</v>
      </c>
      <c r="F41" s="105" t="s">
        <v>162</v>
      </c>
      <c r="G41" s="105" t="s">
        <v>46</v>
      </c>
      <c r="H41" s="235"/>
      <c r="I41" s="113"/>
    </row>
    <row r="42" spans="1:9" s="114" customFormat="1" ht="15">
      <c r="A42" s="109" t="s">
        <v>47</v>
      </c>
      <c r="B42" s="597" t="s">
        <v>111</v>
      </c>
      <c r="C42" s="597"/>
      <c r="D42" s="597"/>
      <c r="E42" s="172"/>
      <c r="F42" s="172"/>
      <c r="G42" s="111">
        <f>SUM(G43:I53)</f>
        <v>100483.8505</v>
      </c>
      <c r="H42" s="236"/>
      <c r="I42" s="113"/>
    </row>
    <row r="43" spans="1:9" ht="15" customHeight="1">
      <c r="A43" s="34" t="s">
        <v>16</v>
      </c>
      <c r="B43" s="595" t="s">
        <v>640</v>
      </c>
      <c r="C43" s="595"/>
      <c r="D43" s="595"/>
      <c r="E43" s="407" t="s">
        <v>164</v>
      </c>
      <c r="F43" s="407">
        <v>2</v>
      </c>
      <c r="G43" s="393">
        <v>14092.38</v>
      </c>
      <c r="H43" s="180"/>
      <c r="I43" s="180"/>
    </row>
    <row r="44" spans="1:9" ht="15" customHeight="1">
      <c r="A44" s="34" t="s">
        <v>18</v>
      </c>
      <c r="B44" s="595" t="s">
        <v>641</v>
      </c>
      <c r="C44" s="595"/>
      <c r="D44" s="595"/>
      <c r="E44" s="407" t="s">
        <v>164</v>
      </c>
      <c r="F44" s="407">
        <v>1</v>
      </c>
      <c r="G44" s="393">
        <v>37020</v>
      </c>
      <c r="H44" s="180"/>
      <c r="I44" s="180"/>
    </row>
    <row r="45" spans="1:9" ht="15" customHeight="1">
      <c r="A45" s="34" t="s">
        <v>20</v>
      </c>
      <c r="B45" s="595" t="s">
        <v>394</v>
      </c>
      <c r="C45" s="595"/>
      <c r="D45" s="595"/>
      <c r="E45" s="407" t="s">
        <v>164</v>
      </c>
      <c r="F45" s="407">
        <v>1</v>
      </c>
      <c r="G45" s="425">
        <v>3384</v>
      </c>
      <c r="H45" s="180"/>
      <c r="I45" s="180"/>
    </row>
    <row r="46" spans="1:9" ht="15" customHeight="1">
      <c r="A46" s="34" t="s">
        <v>22</v>
      </c>
      <c r="B46" s="595" t="s">
        <v>539</v>
      </c>
      <c r="C46" s="595"/>
      <c r="D46" s="595"/>
      <c r="E46" s="407" t="s">
        <v>164</v>
      </c>
      <c r="F46" s="407">
        <v>1</v>
      </c>
      <c r="G46" s="425">
        <v>4970</v>
      </c>
      <c r="H46" s="180"/>
      <c r="I46" s="180"/>
    </row>
    <row r="47" spans="1:9" ht="15" customHeight="1">
      <c r="A47" s="34" t="s">
        <v>24</v>
      </c>
      <c r="B47" s="595" t="s">
        <v>406</v>
      </c>
      <c r="C47" s="595"/>
      <c r="D47" s="595"/>
      <c r="E47" s="407"/>
      <c r="F47" s="407"/>
      <c r="G47" s="425">
        <v>12000</v>
      </c>
      <c r="H47" s="180"/>
      <c r="I47" s="180"/>
    </row>
    <row r="48" spans="1:9" ht="15" customHeight="1">
      <c r="A48" s="34" t="s">
        <v>103</v>
      </c>
      <c r="B48" s="595" t="s">
        <v>241</v>
      </c>
      <c r="C48" s="595"/>
      <c r="D48" s="595"/>
      <c r="E48" s="407" t="s">
        <v>164</v>
      </c>
      <c r="F48" s="407">
        <v>2</v>
      </c>
      <c r="G48" s="425">
        <v>6200</v>
      </c>
      <c r="H48" s="180"/>
      <c r="I48" s="180"/>
    </row>
    <row r="49" spans="1:9" ht="15" customHeight="1">
      <c r="A49" s="34" t="s">
        <v>104</v>
      </c>
      <c r="B49" s="595" t="s">
        <v>642</v>
      </c>
      <c r="C49" s="595"/>
      <c r="D49" s="595"/>
      <c r="E49" s="407"/>
      <c r="F49" s="407"/>
      <c r="G49" s="438">
        <v>9319.71</v>
      </c>
      <c r="H49" s="180"/>
      <c r="I49" s="180"/>
    </row>
    <row r="50" spans="1:9" ht="15" customHeight="1">
      <c r="A50" s="34" t="s">
        <v>117</v>
      </c>
      <c r="B50" s="603" t="s">
        <v>814</v>
      </c>
      <c r="C50" s="603"/>
      <c r="D50" s="603"/>
      <c r="E50" s="151" t="s">
        <v>391</v>
      </c>
      <c r="F50" s="151">
        <v>4</v>
      </c>
      <c r="G50" s="120">
        <v>11200</v>
      </c>
      <c r="H50" s="180"/>
      <c r="I50" s="180"/>
    </row>
    <row r="51" spans="1:9" ht="15">
      <c r="A51" s="34" t="s">
        <v>118</v>
      </c>
      <c r="B51" s="595"/>
      <c r="C51" s="595"/>
      <c r="D51" s="595"/>
      <c r="E51" s="407"/>
      <c r="F51" s="407"/>
      <c r="G51" s="393"/>
      <c r="H51" s="180"/>
      <c r="I51" s="180"/>
    </row>
    <row r="52" spans="1:9" ht="15" customHeight="1">
      <c r="A52" s="34" t="s">
        <v>119</v>
      </c>
      <c r="B52" s="595"/>
      <c r="C52" s="595"/>
      <c r="D52" s="595"/>
      <c r="E52" s="407"/>
      <c r="F52" s="407"/>
      <c r="G52" s="393"/>
      <c r="H52" s="180"/>
      <c r="I52" s="180"/>
    </row>
    <row r="53" spans="1:9" s="67" customFormat="1" ht="15">
      <c r="A53" s="34" t="s">
        <v>139</v>
      </c>
      <c r="B53" s="596" t="s">
        <v>188</v>
      </c>
      <c r="C53" s="596"/>
      <c r="D53" s="596"/>
      <c r="E53" s="190"/>
      <c r="F53" s="190"/>
      <c r="G53" s="120">
        <f>E26*1%</f>
        <v>2297.7605</v>
      </c>
      <c r="H53" s="180"/>
      <c r="I53" s="180"/>
    </row>
    <row r="54" s="67" customFormat="1" ht="15"/>
    <row r="55" spans="1:7" s="67" customFormat="1" ht="15">
      <c r="A55" s="67" t="s">
        <v>55</v>
      </c>
      <c r="C55" s="67" t="s">
        <v>49</v>
      </c>
      <c r="G55" s="67" t="s">
        <v>90</v>
      </c>
    </row>
    <row r="56" spans="1:8" ht="15">
      <c r="A56" s="67"/>
      <c r="B56" s="67"/>
      <c r="C56" s="67"/>
      <c r="D56" s="67"/>
      <c r="E56" s="67"/>
      <c r="F56" s="67"/>
      <c r="G56" s="126" t="s">
        <v>545</v>
      </c>
      <c r="H56" s="126"/>
    </row>
    <row r="57" spans="1:8" ht="15">
      <c r="A57" s="67" t="s">
        <v>50</v>
      </c>
      <c r="B57" s="67"/>
      <c r="C57" s="67"/>
      <c r="D57" s="67"/>
      <c r="E57" s="67"/>
      <c r="F57" s="67"/>
      <c r="G57" s="67"/>
      <c r="H57" s="67"/>
    </row>
    <row r="58" spans="1:8" ht="15">
      <c r="A58" s="67"/>
      <c r="B58" s="67"/>
      <c r="C58" s="128" t="s">
        <v>51</v>
      </c>
      <c r="D58" s="128"/>
      <c r="E58" s="67"/>
      <c r="F58" s="128"/>
      <c r="G58" s="128"/>
      <c r="H58" s="128"/>
    </row>
  </sheetData>
  <sheetProtection/>
  <mergeCells count="24">
    <mergeCell ref="C34:F34"/>
    <mergeCell ref="A1:I1"/>
    <mergeCell ref="A2:I2"/>
    <mergeCell ref="A3:K3"/>
    <mergeCell ref="A5:I5"/>
    <mergeCell ref="A10:I10"/>
    <mergeCell ref="A12:I12"/>
    <mergeCell ref="A11:I11"/>
    <mergeCell ref="B41:D41"/>
    <mergeCell ref="B49:D49"/>
    <mergeCell ref="A39:G39"/>
    <mergeCell ref="B45:D45"/>
    <mergeCell ref="B48:D48"/>
    <mergeCell ref="A36:C36"/>
    <mergeCell ref="B46:D46"/>
    <mergeCell ref="A35:F35"/>
    <mergeCell ref="B53:D53"/>
    <mergeCell ref="B52:D52"/>
    <mergeCell ref="B42:D42"/>
    <mergeCell ref="B43:D43"/>
    <mergeCell ref="B44:D44"/>
    <mergeCell ref="B50:D50"/>
    <mergeCell ref="B51:D51"/>
    <mergeCell ref="B47:D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FF00"/>
  </sheetPr>
  <dimension ref="A1:M54"/>
  <sheetViews>
    <sheetView zoomScalePageLayoutView="0" workbookViewId="0" topLeftCell="A41">
      <selection activeCell="A50" sqref="A50"/>
    </sheetView>
  </sheetViews>
  <sheetFormatPr defaultColWidth="9.140625" defaultRowHeight="15" outlineLevelCol="1"/>
  <cols>
    <col min="1" max="1" width="5.00390625" style="35" customWidth="1"/>
    <col min="2" max="2" width="49.57421875" style="35" customWidth="1"/>
    <col min="3" max="3" width="15.8515625" style="35" customWidth="1"/>
    <col min="4" max="5" width="12.7109375" style="35" customWidth="1"/>
    <col min="6" max="6" width="15.00390625" style="35" customWidth="1"/>
    <col min="7" max="7" width="16.1406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228" customWidth="1" collapsed="1"/>
    <col min="14" max="14" width="10.28125" style="35" bestFit="1" customWidth="1"/>
    <col min="15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5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15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5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7" spans="1:6" s="67" customFormat="1" ht="15">
      <c r="A7" s="67" t="s">
        <v>2</v>
      </c>
      <c r="F7" s="126" t="s">
        <v>363</v>
      </c>
    </row>
    <row r="8" spans="1:10" s="67" customFormat="1" ht="15">
      <c r="A8" s="67" t="s">
        <v>3</v>
      </c>
      <c r="F8" s="291" t="s">
        <v>364</v>
      </c>
      <c r="I8" s="199">
        <v>2277.06</v>
      </c>
      <c r="J8" s="199">
        <f>106.3+127.1</f>
        <v>233.39999999999998</v>
      </c>
    </row>
    <row r="9" spans="2:6" s="67" customFormat="1" ht="15">
      <c r="B9" s="67" t="s">
        <v>507</v>
      </c>
      <c r="F9" s="291" t="s">
        <v>524</v>
      </c>
    </row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15.75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65">
        <f>'[2]Солнечный б-р 4-1'!$G$38</f>
        <v>-1705.9699999999996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'[2]Солнечный б-р 4-1'!$G$39</f>
        <v>185442.2955</v>
      </c>
      <c r="H15" s="62"/>
      <c r="I15" s="62"/>
    </row>
    <row r="16" s="67" customFormat="1" ht="15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167" customFormat="1" ht="14.25">
      <c r="A18" s="75" t="s">
        <v>14</v>
      </c>
      <c r="B18" s="41" t="s">
        <v>15</v>
      </c>
      <c r="C18" s="97">
        <f>SUM(C19:C23)</f>
        <v>13.84</v>
      </c>
      <c r="D18" s="76">
        <v>429728.14</v>
      </c>
      <c r="E18" s="76">
        <v>424734.59</v>
      </c>
      <c r="F18" s="76">
        <f aca="true" t="shared" si="0" ref="F18:F26">D18</f>
        <v>429728.14</v>
      </c>
      <c r="G18" s="77">
        <f aca="true" t="shared" si="1" ref="G18:G23">D18-E18</f>
        <v>4993.549999999988</v>
      </c>
      <c r="H18" s="78">
        <f aca="true" t="shared" si="2" ref="H18:H23">C18</f>
        <v>13.84</v>
      </c>
    </row>
    <row r="19" spans="1:9" s="67" customFormat="1" ht="15">
      <c r="A19" s="81" t="s">
        <v>16</v>
      </c>
      <c r="B19" s="34" t="s">
        <v>17</v>
      </c>
      <c r="C19" s="82">
        <v>3.46</v>
      </c>
      <c r="D19" s="83">
        <f>D18*I19</f>
        <v>107432.035</v>
      </c>
      <c r="E19" s="83">
        <f>E18*I19</f>
        <v>106183.6475</v>
      </c>
      <c r="F19" s="83">
        <f t="shared" si="0"/>
        <v>107432.035</v>
      </c>
      <c r="G19" s="84">
        <f t="shared" si="1"/>
        <v>1248.387499999997</v>
      </c>
      <c r="H19" s="78">
        <f t="shared" si="2"/>
        <v>3.46</v>
      </c>
      <c r="I19" s="67">
        <f>H19/H18</f>
        <v>0.25</v>
      </c>
    </row>
    <row r="20" spans="1:9" s="67" customFormat="1" ht="15">
      <c r="A20" s="81" t="s">
        <v>18</v>
      </c>
      <c r="B20" s="34" t="s">
        <v>19</v>
      </c>
      <c r="C20" s="85">
        <v>1.69</v>
      </c>
      <c r="D20" s="83">
        <f>D18*I20</f>
        <v>52474.028656069364</v>
      </c>
      <c r="E20" s="83">
        <f>E18*I20</f>
        <v>51864.26713150289</v>
      </c>
      <c r="F20" s="83">
        <f t="shared" si="0"/>
        <v>52474.028656069364</v>
      </c>
      <c r="G20" s="84">
        <f t="shared" si="1"/>
        <v>609.761524566471</v>
      </c>
      <c r="H20" s="78">
        <f t="shared" si="2"/>
        <v>1.69</v>
      </c>
      <c r="I20" s="67">
        <f>H20/H18</f>
        <v>0.12210982658959538</v>
      </c>
    </row>
    <row r="21" spans="1:9" s="67" customFormat="1" ht="15">
      <c r="A21" s="81" t="s">
        <v>20</v>
      </c>
      <c r="B21" s="34" t="s">
        <v>21</v>
      </c>
      <c r="C21" s="82">
        <v>2.15</v>
      </c>
      <c r="D21" s="83">
        <f>D18*I21</f>
        <v>66756.90036127168</v>
      </c>
      <c r="E21" s="83">
        <f>E18*I21</f>
        <v>65981.16824421966</v>
      </c>
      <c r="F21" s="83">
        <f t="shared" si="0"/>
        <v>66756.90036127168</v>
      </c>
      <c r="G21" s="84">
        <f t="shared" si="1"/>
        <v>775.7321170520154</v>
      </c>
      <c r="H21" s="78">
        <f t="shared" si="2"/>
        <v>2.15</v>
      </c>
      <c r="I21" s="67">
        <f>H21/H18</f>
        <v>0.15534682080924855</v>
      </c>
    </row>
    <row r="22" spans="1:9" s="67" customFormat="1" ht="15">
      <c r="A22" s="81" t="s">
        <v>22</v>
      </c>
      <c r="B22" s="34" t="s">
        <v>23</v>
      </c>
      <c r="C22" s="82">
        <v>3.04</v>
      </c>
      <c r="D22" s="83">
        <f>D18*I22</f>
        <v>94391.15213872833</v>
      </c>
      <c r="E22" s="83">
        <f>E18*I22</f>
        <v>93294.30300578036</v>
      </c>
      <c r="F22" s="83">
        <f t="shared" si="0"/>
        <v>94391.15213872833</v>
      </c>
      <c r="G22" s="84">
        <f t="shared" si="1"/>
        <v>1096.849132947973</v>
      </c>
      <c r="H22" s="78">
        <f t="shared" si="2"/>
        <v>3.04</v>
      </c>
      <c r="I22" s="67">
        <f>H22/H18</f>
        <v>0.21965317919075145</v>
      </c>
    </row>
    <row r="23" spans="1:9" s="67" customFormat="1" ht="15">
      <c r="A23" s="81" t="s">
        <v>24</v>
      </c>
      <c r="B23" s="34" t="s">
        <v>219</v>
      </c>
      <c r="C23" s="82">
        <v>3.5</v>
      </c>
      <c r="D23" s="83">
        <f>D18*I23</f>
        <v>108674.02384393066</v>
      </c>
      <c r="E23" s="83">
        <f>E18*I23</f>
        <v>107411.20411849713</v>
      </c>
      <c r="F23" s="83">
        <f>D23</f>
        <v>108674.02384393066</v>
      </c>
      <c r="G23" s="84">
        <f t="shared" si="1"/>
        <v>1262.8197254335246</v>
      </c>
      <c r="H23" s="78">
        <f t="shared" si="2"/>
        <v>3.5</v>
      </c>
      <c r="I23" s="67">
        <f>H23/H18</f>
        <v>0.25289017341040465</v>
      </c>
    </row>
    <row r="24" spans="1:13" s="39" customFormat="1" ht="15">
      <c r="A24" s="41" t="s">
        <v>25</v>
      </c>
      <c r="B24" s="41" t="s">
        <v>26</v>
      </c>
      <c r="C24" s="97">
        <v>3.86</v>
      </c>
      <c r="D24" s="77">
        <v>110397.12</v>
      </c>
      <c r="E24" s="77">
        <v>109663.09</v>
      </c>
      <c r="F24" s="76">
        <f t="shared" si="0"/>
        <v>110397.12</v>
      </c>
      <c r="G24" s="77">
        <f aca="true" t="shared" si="3" ref="G24:G34">D24-E24</f>
        <v>734.0299999999988</v>
      </c>
      <c r="M24" s="230"/>
    </row>
    <row r="25" spans="1:13" s="39" customFormat="1" ht="15">
      <c r="A25" s="41" t="s">
        <v>27</v>
      </c>
      <c r="B25" s="41" t="s">
        <v>161</v>
      </c>
      <c r="C25" s="97" t="s">
        <v>297</v>
      </c>
      <c r="D25" s="77">
        <v>0</v>
      </c>
      <c r="E25" s="77">
        <v>0</v>
      </c>
      <c r="F25" s="77">
        <f t="shared" si="0"/>
        <v>0</v>
      </c>
      <c r="G25" s="77">
        <f t="shared" si="3"/>
        <v>0</v>
      </c>
      <c r="M25" s="230"/>
    </row>
    <row r="26" spans="1:13" s="39" customFormat="1" ht="15">
      <c r="A26" s="41" t="s">
        <v>29</v>
      </c>
      <c r="B26" s="41" t="s">
        <v>246</v>
      </c>
      <c r="C26" s="97">
        <v>0</v>
      </c>
      <c r="D26" s="77">
        <v>33120</v>
      </c>
      <c r="E26" s="77">
        <v>32265.75</v>
      </c>
      <c r="F26" s="77">
        <f t="shared" si="0"/>
        <v>33120</v>
      </c>
      <c r="G26" s="77">
        <f t="shared" si="3"/>
        <v>854.25</v>
      </c>
      <c r="M26" s="230"/>
    </row>
    <row r="27" spans="1:13" s="39" customFormat="1" ht="15">
      <c r="A27" s="41" t="s">
        <v>31</v>
      </c>
      <c r="B27" s="41" t="s">
        <v>116</v>
      </c>
      <c r="C27" s="97">
        <v>2.06</v>
      </c>
      <c r="D27" s="77">
        <v>62058</v>
      </c>
      <c r="E27" s="77">
        <v>61296.79</v>
      </c>
      <c r="F27" s="87">
        <f>F43</f>
        <v>103645.0279</v>
      </c>
      <c r="G27" s="77">
        <f t="shared" si="3"/>
        <v>761.2099999999991</v>
      </c>
      <c r="M27" s="230"/>
    </row>
    <row r="28" spans="1:13" s="39" customFormat="1" ht="15">
      <c r="A28" s="41" t="s">
        <v>33</v>
      </c>
      <c r="B28" s="41" t="s">
        <v>34</v>
      </c>
      <c r="C28" s="46"/>
      <c r="D28" s="77">
        <v>0</v>
      </c>
      <c r="E28" s="77">
        <v>595.48</v>
      </c>
      <c r="F28" s="87">
        <v>0</v>
      </c>
      <c r="G28" s="77">
        <f t="shared" si="3"/>
        <v>-595.48</v>
      </c>
      <c r="M28" s="230"/>
    </row>
    <row r="29" spans="1:13" s="39" customFormat="1" ht="15">
      <c r="A29" s="41" t="s">
        <v>35</v>
      </c>
      <c r="B29" s="41" t="s">
        <v>246</v>
      </c>
      <c r="C29" s="46">
        <v>60</v>
      </c>
      <c r="D29" s="77">
        <v>33120</v>
      </c>
      <c r="E29" s="77">
        <v>32571.8</v>
      </c>
      <c r="F29" s="87">
        <f>D29</f>
        <v>33120</v>
      </c>
      <c r="G29" s="77">
        <f t="shared" si="3"/>
        <v>548.2000000000007</v>
      </c>
      <c r="M29" s="230"/>
    </row>
    <row r="30" spans="1:13" s="39" customFormat="1" ht="15">
      <c r="A30" s="41" t="s">
        <v>192</v>
      </c>
      <c r="B30" s="41" t="s">
        <v>36</v>
      </c>
      <c r="C30" s="97">
        <f>SUM(C31:C34)</f>
        <v>2410.09</v>
      </c>
      <c r="D30" s="77">
        <f>SUM(D31:D34)</f>
        <v>1746733</v>
      </c>
      <c r="E30" s="77">
        <f>SUM(E31:E34)</f>
        <v>1730646.3</v>
      </c>
      <c r="F30" s="77">
        <f>SUM(F31:F34)</f>
        <v>1746733</v>
      </c>
      <c r="G30" s="77">
        <f t="shared" si="3"/>
        <v>16086.699999999953</v>
      </c>
      <c r="M30" s="230"/>
    </row>
    <row r="31" spans="1:7" ht="15">
      <c r="A31" s="34" t="s">
        <v>194</v>
      </c>
      <c r="B31" s="34" t="s">
        <v>171</v>
      </c>
      <c r="C31" s="293">
        <v>6</v>
      </c>
      <c r="D31" s="84">
        <v>699669.07</v>
      </c>
      <c r="E31" s="84">
        <v>668723.66</v>
      </c>
      <c r="F31" s="84">
        <f>D31</f>
        <v>699669.07</v>
      </c>
      <c r="G31" s="84">
        <f t="shared" si="3"/>
        <v>30945.409999999916</v>
      </c>
    </row>
    <row r="32" spans="1:7" ht="15">
      <c r="A32" s="34" t="s">
        <v>195</v>
      </c>
      <c r="B32" s="34" t="s">
        <v>137</v>
      </c>
      <c r="C32" s="285">
        <v>57.08</v>
      </c>
      <c r="D32" s="84">
        <v>168754.15</v>
      </c>
      <c r="E32" s="84">
        <v>198508.87</v>
      </c>
      <c r="F32" s="84">
        <f>D32</f>
        <v>168754.15</v>
      </c>
      <c r="G32" s="84">
        <f t="shared" si="3"/>
        <v>-29754.72</v>
      </c>
    </row>
    <row r="33" spans="1:13" ht="15">
      <c r="A33" s="34" t="s">
        <v>196</v>
      </c>
      <c r="B33" s="34" t="s">
        <v>340</v>
      </c>
      <c r="C33" s="286">
        <v>179.86</v>
      </c>
      <c r="D33" s="84">
        <v>250939.26</v>
      </c>
      <c r="E33" s="84">
        <v>253784.57</v>
      </c>
      <c r="F33" s="84">
        <f>D33</f>
        <v>250939.26</v>
      </c>
      <c r="G33" s="84">
        <f t="shared" si="3"/>
        <v>-2845.3099999999977</v>
      </c>
      <c r="M33" s="36"/>
    </row>
    <row r="34" spans="1:13" ht="15">
      <c r="A34" s="34" t="s">
        <v>197</v>
      </c>
      <c r="B34" s="34" t="s">
        <v>43</v>
      </c>
      <c r="C34" s="286">
        <v>2167.15</v>
      </c>
      <c r="D34" s="84">
        <v>627370.52</v>
      </c>
      <c r="E34" s="84">
        <v>609629.2</v>
      </c>
      <c r="F34" s="84">
        <f>D34</f>
        <v>627370.52</v>
      </c>
      <c r="G34" s="84">
        <f t="shared" si="3"/>
        <v>17741.320000000065</v>
      </c>
      <c r="M34" s="36"/>
    </row>
    <row r="35" spans="1:13" ht="15.75" thickBot="1">
      <c r="A35" s="446" t="s">
        <v>294</v>
      </c>
      <c r="B35" s="447"/>
      <c r="C35" s="447"/>
      <c r="D35" s="448"/>
      <c r="E35" s="448"/>
      <c r="F35" s="448"/>
      <c r="G35" s="170"/>
      <c r="M35" s="36"/>
    </row>
    <row r="36" spans="1:9" s="67" customFormat="1" ht="15.75" thickBot="1">
      <c r="A36" s="455" t="s">
        <v>413</v>
      </c>
      <c r="B36" s="456"/>
      <c r="C36" s="456"/>
      <c r="D36" s="65">
        <v>806957.12</v>
      </c>
      <c r="E36" s="66"/>
      <c r="F36" s="66"/>
      <c r="G36" s="66"/>
      <c r="H36" s="62"/>
      <c r="I36" s="62"/>
    </row>
    <row r="37" spans="1:9" s="67" customFormat="1" ht="9.75" customHeight="1" thickBot="1">
      <c r="A37" s="68"/>
      <c r="B37" s="68"/>
      <c r="C37" s="68"/>
      <c r="D37" s="40"/>
      <c r="E37" s="66"/>
      <c r="F37" s="66"/>
      <c r="G37" s="66"/>
      <c r="H37" s="62"/>
      <c r="I37" s="62"/>
    </row>
    <row r="38" spans="1:13" s="67" customFormat="1" ht="15.75" thickBot="1">
      <c r="A38" s="63" t="s">
        <v>414</v>
      </c>
      <c r="B38" s="64"/>
      <c r="C38" s="64"/>
      <c r="D38" s="69"/>
      <c r="E38" s="70"/>
      <c r="F38" s="70"/>
      <c r="G38" s="144">
        <f>G14+E28-F28</f>
        <v>-1110.4899999999996</v>
      </c>
      <c r="H38" s="62"/>
      <c r="I38" s="62"/>
      <c r="M38" s="145"/>
    </row>
    <row r="39" spans="1:13" s="67" customFormat="1" ht="15.75" thickBot="1">
      <c r="A39" s="63" t="s">
        <v>451</v>
      </c>
      <c r="B39" s="64"/>
      <c r="C39" s="64"/>
      <c r="D39" s="69"/>
      <c r="E39" s="70"/>
      <c r="F39" s="70"/>
      <c r="G39" s="144">
        <f>G15+E27-F27</f>
        <v>143094.0576</v>
      </c>
      <c r="H39" s="62"/>
      <c r="I39" s="62"/>
      <c r="M39" s="145"/>
    </row>
    <row r="40" spans="1:9" ht="35.25" customHeight="1">
      <c r="A40" s="537" t="s">
        <v>44</v>
      </c>
      <c r="B40" s="537"/>
      <c r="C40" s="537"/>
      <c r="D40" s="537"/>
      <c r="E40" s="537"/>
      <c r="F40" s="537"/>
      <c r="G40" s="537"/>
      <c r="H40" s="537"/>
      <c r="I40" s="537"/>
    </row>
    <row r="42" spans="1:7" s="171" customFormat="1" ht="28.5" customHeight="1">
      <c r="A42" s="105" t="s">
        <v>11</v>
      </c>
      <c r="B42" s="471" t="s">
        <v>45</v>
      </c>
      <c r="C42" s="484"/>
      <c r="D42" s="105" t="s">
        <v>163</v>
      </c>
      <c r="E42" s="105" t="s">
        <v>162</v>
      </c>
      <c r="F42" s="471" t="s">
        <v>46</v>
      </c>
      <c r="G42" s="484"/>
    </row>
    <row r="43" spans="1:7" s="114" customFormat="1" ht="15">
      <c r="A43" s="109" t="s">
        <v>47</v>
      </c>
      <c r="B43" s="473" t="s">
        <v>111</v>
      </c>
      <c r="C43" s="491"/>
      <c r="D43" s="110"/>
      <c r="E43" s="110"/>
      <c r="F43" s="496">
        <f>SUM(F44:L49)</f>
        <v>103645.0279</v>
      </c>
      <c r="G43" s="483"/>
    </row>
    <row r="44" spans="1:13" ht="15" customHeight="1">
      <c r="A44" s="34" t="s">
        <v>16</v>
      </c>
      <c r="B44" s="462" t="s">
        <v>632</v>
      </c>
      <c r="C44" s="489"/>
      <c r="D44" s="403" t="s">
        <v>164</v>
      </c>
      <c r="E44" s="403">
        <v>2</v>
      </c>
      <c r="F44" s="525">
        <v>14032.06</v>
      </c>
      <c r="G44" s="526"/>
      <c r="M44" s="35"/>
    </row>
    <row r="45" spans="1:13" ht="15" customHeight="1">
      <c r="A45" s="34" t="s">
        <v>18</v>
      </c>
      <c r="B45" s="462" t="s">
        <v>538</v>
      </c>
      <c r="C45" s="541"/>
      <c r="D45" s="403" t="s">
        <v>164</v>
      </c>
      <c r="E45" s="403">
        <v>1</v>
      </c>
      <c r="F45" s="497">
        <v>37020</v>
      </c>
      <c r="G45" s="497"/>
      <c r="M45" s="35"/>
    </row>
    <row r="46" spans="1:13" ht="15" customHeight="1">
      <c r="A46" s="34" t="s">
        <v>20</v>
      </c>
      <c r="B46" s="462" t="s">
        <v>241</v>
      </c>
      <c r="C46" s="541"/>
      <c r="D46" s="403" t="s">
        <v>164</v>
      </c>
      <c r="E46" s="403">
        <v>2</v>
      </c>
      <c r="F46" s="497">
        <v>5980</v>
      </c>
      <c r="G46" s="497"/>
      <c r="M46" s="35"/>
    </row>
    <row r="47" spans="1:13" ht="15" customHeight="1">
      <c r="A47" s="34" t="s">
        <v>22</v>
      </c>
      <c r="B47" s="462" t="s">
        <v>643</v>
      </c>
      <c r="C47" s="489"/>
      <c r="D47" s="403"/>
      <c r="E47" s="118"/>
      <c r="F47" s="497">
        <v>34800</v>
      </c>
      <c r="G47" s="497"/>
      <c r="M47" s="35"/>
    </row>
    <row r="48" spans="1:13" ht="15" customHeight="1">
      <c r="A48" s="34" t="s">
        <v>24</v>
      </c>
      <c r="B48" s="449" t="s">
        <v>814</v>
      </c>
      <c r="C48" s="451"/>
      <c r="D48" s="118" t="s">
        <v>391</v>
      </c>
      <c r="E48" s="118">
        <v>4</v>
      </c>
      <c r="F48" s="495">
        <v>11200</v>
      </c>
      <c r="G48" s="495"/>
      <c r="M48" s="35"/>
    </row>
    <row r="49" spans="1:13" ht="15">
      <c r="A49" s="34" t="s">
        <v>103</v>
      </c>
      <c r="B49" s="148" t="s">
        <v>188</v>
      </c>
      <c r="C49" s="149"/>
      <c r="D49" s="118"/>
      <c r="E49" s="118"/>
      <c r="F49" s="495">
        <f>E27*1%</f>
        <v>612.9679</v>
      </c>
      <c r="G49" s="495"/>
      <c r="M49" s="35"/>
    </row>
    <row r="50" spans="1:13" ht="15">
      <c r="A50" s="67"/>
      <c r="B50" s="67"/>
      <c r="C50" s="67"/>
      <c r="D50" s="67"/>
      <c r="E50" s="67"/>
      <c r="F50" s="67"/>
      <c r="G50" s="67"/>
      <c r="M50" s="35"/>
    </row>
    <row r="51" spans="1:13" ht="15">
      <c r="A51" s="67" t="s">
        <v>55</v>
      </c>
      <c r="B51" s="67"/>
      <c r="C51" s="67" t="s">
        <v>49</v>
      </c>
      <c r="D51" s="67"/>
      <c r="E51" s="67"/>
      <c r="F51" s="67" t="s">
        <v>90</v>
      </c>
      <c r="G51" s="67"/>
      <c r="M51" s="35"/>
    </row>
    <row r="52" spans="1:13" ht="15">
      <c r="A52" s="67"/>
      <c r="B52" s="67"/>
      <c r="C52" s="67"/>
      <c r="D52" s="67"/>
      <c r="E52" s="67"/>
      <c r="F52" s="126" t="s">
        <v>545</v>
      </c>
      <c r="G52" s="67"/>
      <c r="M52" s="35"/>
    </row>
    <row r="53" s="67" customFormat="1" ht="15">
      <c r="A53" s="67" t="s">
        <v>50</v>
      </c>
    </row>
    <row r="54" spans="3:7" s="67" customFormat="1" ht="15">
      <c r="C54" s="128" t="s">
        <v>51</v>
      </c>
      <c r="E54" s="128"/>
      <c r="F54" s="128"/>
      <c r="G54" s="128"/>
    </row>
    <row r="55" s="67" customFormat="1" ht="15"/>
    <row r="56" s="67" customFormat="1" ht="15"/>
  </sheetData>
  <sheetProtection/>
  <mergeCells count="25">
    <mergeCell ref="B48:C48"/>
    <mergeCell ref="F48:G48"/>
    <mergeCell ref="A12:I12"/>
    <mergeCell ref="A11:I11"/>
    <mergeCell ref="A1:I1"/>
    <mergeCell ref="A2:I2"/>
    <mergeCell ref="A3:K3"/>
    <mergeCell ref="A5:I5"/>
    <mergeCell ref="A10:I10"/>
    <mergeCell ref="A35:F35"/>
    <mergeCell ref="F49:G49"/>
    <mergeCell ref="F44:G44"/>
    <mergeCell ref="F45:G45"/>
    <mergeCell ref="B44:C44"/>
    <mergeCell ref="F43:G43"/>
    <mergeCell ref="F46:G46"/>
    <mergeCell ref="B45:C45"/>
    <mergeCell ref="B46:C46"/>
    <mergeCell ref="B47:C47"/>
    <mergeCell ref="B43:C43"/>
    <mergeCell ref="F47:G47"/>
    <mergeCell ref="A36:C36"/>
    <mergeCell ref="A40:I40"/>
    <mergeCell ref="F42:G42"/>
    <mergeCell ref="B42:C4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FF00"/>
  </sheetPr>
  <dimension ref="A1:M55"/>
  <sheetViews>
    <sheetView zoomScalePageLayoutView="0" workbookViewId="0" topLeftCell="A42">
      <selection activeCell="F47" sqref="F47:G47"/>
    </sheetView>
  </sheetViews>
  <sheetFormatPr defaultColWidth="9.140625" defaultRowHeight="15" outlineLevelCol="1"/>
  <cols>
    <col min="1" max="1" width="5.00390625" style="35" customWidth="1"/>
    <col min="2" max="2" width="48.28125" style="35" customWidth="1"/>
    <col min="3" max="5" width="12.7109375" style="35" customWidth="1"/>
    <col min="6" max="6" width="15.00390625" style="35" customWidth="1"/>
    <col min="7" max="7" width="17.00390625" style="35" customWidth="1"/>
    <col min="8" max="8" width="10.8515625" style="35" hidden="1" customWidth="1" outlineLevel="1"/>
    <col min="9" max="9" width="13.421875" style="35" hidden="1" customWidth="1" outlineLevel="1"/>
    <col min="10" max="11" width="9.140625" style="35" hidden="1" customWidth="1" outlineLevel="1"/>
    <col min="12" max="12" width="0.42578125" style="35" hidden="1" customWidth="1" outlineLevel="1"/>
    <col min="13" max="13" width="9.7109375" style="228" bestFit="1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5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15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5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7" spans="1:6" s="67" customFormat="1" ht="15">
      <c r="A7" s="67" t="s">
        <v>2</v>
      </c>
      <c r="F7" s="126" t="s">
        <v>365</v>
      </c>
    </row>
    <row r="8" spans="1:11" s="67" customFormat="1" ht="15">
      <c r="A8" s="67" t="s">
        <v>3</v>
      </c>
      <c r="F8" s="291" t="s">
        <v>303</v>
      </c>
      <c r="I8" s="307">
        <v>5660.5</v>
      </c>
      <c r="J8" s="307">
        <v>101</v>
      </c>
      <c r="K8" s="307">
        <f>J8+I8</f>
        <v>5761.5</v>
      </c>
    </row>
    <row r="9" spans="2:10" s="67" customFormat="1" ht="15">
      <c r="B9" s="67" t="s">
        <v>507</v>
      </c>
      <c r="F9" s="291" t="s">
        <v>525</v>
      </c>
      <c r="J9" s="367"/>
    </row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15.75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336</v>
      </c>
      <c r="B14" s="64"/>
      <c r="C14" s="64"/>
      <c r="D14" s="69"/>
      <c r="E14" s="70"/>
      <c r="F14" s="70"/>
      <c r="G14" s="65">
        <f>'[2]Солнечный б-р 4-2'!$G$36</f>
        <v>-110726.91830000003</v>
      </c>
      <c r="H14" s="62"/>
      <c r="I14" s="62"/>
    </row>
    <row r="15" s="67" customFormat="1" ht="15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</row>
    <row r="17" spans="1:8" s="167" customFormat="1" ht="14.25">
      <c r="A17" s="75" t="s">
        <v>14</v>
      </c>
      <c r="B17" s="41" t="s">
        <v>15</v>
      </c>
      <c r="C17" s="97">
        <f>SUM(C18:C22)</f>
        <v>13.84</v>
      </c>
      <c r="D17" s="76">
        <v>967212.41</v>
      </c>
      <c r="E17" s="76">
        <v>987183.77</v>
      </c>
      <c r="F17" s="76">
        <f aca="true" t="shared" si="0" ref="F17:F25">D17</f>
        <v>967212.41</v>
      </c>
      <c r="G17" s="77">
        <f aca="true" t="shared" si="1" ref="G17:G22">D17-E17</f>
        <v>-19971.359999999986</v>
      </c>
      <c r="H17" s="136">
        <f>C17</f>
        <v>13.84</v>
      </c>
    </row>
    <row r="18" spans="1:9" s="67" customFormat="1" ht="15">
      <c r="A18" s="81" t="s">
        <v>16</v>
      </c>
      <c r="B18" s="34" t="s">
        <v>17</v>
      </c>
      <c r="C18" s="82">
        <v>3.46</v>
      </c>
      <c r="D18" s="83">
        <f>D17*I18</f>
        <v>241803.1025</v>
      </c>
      <c r="E18" s="83">
        <f>E17*I18</f>
        <v>246795.9425</v>
      </c>
      <c r="F18" s="83">
        <f t="shared" si="0"/>
        <v>241803.1025</v>
      </c>
      <c r="G18" s="84">
        <f t="shared" si="1"/>
        <v>-4992.8399999999965</v>
      </c>
      <c r="H18" s="78">
        <f>C18</f>
        <v>3.46</v>
      </c>
      <c r="I18" s="67">
        <f>H18/H17</f>
        <v>0.25</v>
      </c>
    </row>
    <row r="19" spans="1:9" s="67" customFormat="1" ht="15">
      <c r="A19" s="81" t="s">
        <v>18</v>
      </c>
      <c r="B19" s="34" t="s">
        <v>19</v>
      </c>
      <c r="C19" s="85">
        <v>1.69</v>
      </c>
      <c r="D19" s="83">
        <f>D17*I19</f>
        <v>118106.13966040463</v>
      </c>
      <c r="E19" s="83">
        <f>E17*I19</f>
        <v>120544.83896676301</v>
      </c>
      <c r="F19" s="83">
        <f t="shared" si="0"/>
        <v>118106.13966040463</v>
      </c>
      <c r="G19" s="84">
        <f t="shared" si="1"/>
        <v>-2438.6993063583795</v>
      </c>
      <c r="H19" s="78">
        <f>C19</f>
        <v>1.69</v>
      </c>
      <c r="I19" s="67">
        <f>H19/H17</f>
        <v>0.12210982658959538</v>
      </c>
    </row>
    <row r="20" spans="1:9" s="67" customFormat="1" ht="15">
      <c r="A20" s="81" t="s">
        <v>20</v>
      </c>
      <c r="B20" s="34" t="s">
        <v>21</v>
      </c>
      <c r="C20" s="82">
        <v>2.15</v>
      </c>
      <c r="D20" s="83">
        <f>D17*I20</f>
        <v>150253.37294075146</v>
      </c>
      <c r="E20" s="83">
        <f>E17*I20</f>
        <v>153355.86022398845</v>
      </c>
      <c r="F20" s="83">
        <f t="shared" si="0"/>
        <v>150253.37294075146</v>
      </c>
      <c r="G20" s="84">
        <f t="shared" si="1"/>
        <v>-3102.4872832369874</v>
      </c>
      <c r="H20" s="78">
        <f>C20</f>
        <v>2.15</v>
      </c>
      <c r="I20" s="67">
        <f>H20/H17</f>
        <v>0.15534682080924855</v>
      </c>
    </row>
    <row r="21" spans="1:9" s="67" customFormat="1" ht="15">
      <c r="A21" s="81" t="s">
        <v>22</v>
      </c>
      <c r="B21" s="34" t="s">
        <v>23</v>
      </c>
      <c r="C21" s="82">
        <v>3.04</v>
      </c>
      <c r="D21" s="83">
        <f>D17*I21</f>
        <v>212451.28080924856</v>
      </c>
      <c r="E21" s="83">
        <f>E17*I21</f>
        <v>216838.05352601156</v>
      </c>
      <c r="F21" s="83">
        <f t="shared" si="0"/>
        <v>212451.28080924856</v>
      </c>
      <c r="G21" s="84">
        <f t="shared" si="1"/>
        <v>-4386.772716762993</v>
      </c>
      <c r="H21" s="78">
        <f>C21</f>
        <v>3.04</v>
      </c>
      <c r="I21" s="67">
        <f>H21/H17</f>
        <v>0.21965317919075145</v>
      </c>
    </row>
    <row r="22" spans="1:9" s="67" customFormat="1" ht="15">
      <c r="A22" s="81" t="s">
        <v>24</v>
      </c>
      <c r="B22" s="34" t="s">
        <v>219</v>
      </c>
      <c r="C22" s="82">
        <v>3.5</v>
      </c>
      <c r="D22" s="83">
        <f>D17*I22</f>
        <v>244598.5140895954</v>
      </c>
      <c r="E22" s="83">
        <f>E17*I22</f>
        <v>249649.074783237</v>
      </c>
      <c r="F22" s="83">
        <f t="shared" si="0"/>
        <v>244598.5140895954</v>
      </c>
      <c r="G22" s="84">
        <f t="shared" si="1"/>
        <v>-5050.560693641601</v>
      </c>
      <c r="H22" s="78">
        <v>3.5</v>
      </c>
      <c r="I22" s="67">
        <f>H22/H17</f>
        <v>0.25289017341040465</v>
      </c>
    </row>
    <row r="23" spans="1:13" s="39" customFormat="1" ht="15">
      <c r="A23" s="41" t="s">
        <v>25</v>
      </c>
      <c r="B23" s="41" t="s">
        <v>26</v>
      </c>
      <c r="C23" s="97">
        <v>3.86</v>
      </c>
      <c r="D23" s="77">
        <v>261702.39</v>
      </c>
      <c r="E23" s="77">
        <v>267154.31</v>
      </c>
      <c r="F23" s="76">
        <f t="shared" si="0"/>
        <v>261702.39</v>
      </c>
      <c r="G23" s="77">
        <f aca="true" t="shared" si="2" ref="G23:G32">D23-E23</f>
        <v>-5451.919999999984</v>
      </c>
      <c r="M23" s="230"/>
    </row>
    <row r="24" spans="1:13" s="39" customFormat="1" ht="15">
      <c r="A24" s="41" t="s">
        <v>27</v>
      </c>
      <c r="B24" s="41" t="s">
        <v>28</v>
      </c>
      <c r="C24" s="97"/>
      <c r="D24" s="77">
        <v>0</v>
      </c>
      <c r="E24" s="77">
        <v>0</v>
      </c>
      <c r="F24" s="77">
        <f t="shared" si="0"/>
        <v>0</v>
      </c>
      <c r="G24" s="77">
        <f t="shared" si="2"/>
        <v>0</v>
      </c>
      <c r="M24" s="230"/>
    </row>
    <row r="25" spans="1:13" s="39" customFormat="1" ht="15">
      <c r="A25" s="41" t="s">
        <v>29</v>
      </c>
      <c r="B25" s="41" t="s">
        <v>30</v>
      </c>
      <c r="C25" s="97">
        <v>0</v>
      </c>
      <c r="D25" s="77">
        <v>0</v>
      </c>
      <c r="E25" s="77">
        <v>0</v>
      </c>
      <c r="F25" s="77">
        <f t="shared" si="0"/>
        <v>0</v>
      </c>
      <c r="G25" s="77">
        <f t="shared" si="2"/>
        <v>0</v>
      </c>
      <c r="M25" s="230"/>
    </row>
    <row r="26" spans="1:13" s="39" customFormat="1" ht="15">
      <c r="A26" s="41" t="s">
        <v>31</v>
      </c>
      <c r="B26" s="41" t="s">
        <v>116</v>
      </c>
      <c r="C26" s="97">
        <v>2.06</v>
      </c>
      <c r="D26" s="77">
        <v>141910.19</v>
      </c>
      <c r="E26" s="77">
        <v>144815.26</v>
      </c>
      <c r="F26" s="87">
        <f>F43</f>
        <v>108732.8026</v>
      </c>
      <c r="G26" s="77">
        <f t="shared" si="2"/>
        <v>-2905.070000000007</v>
      </c>
      <c r="M26" s="233"/>
    </row>
    <row r="27" spans="1:13" s="39" customFormat="1" ht="15">
      <c r="A27" s="41" t="s">
        <v>33</v>
      </c>
      <c r="B27" s="41" t="s">
        <v>161</v>
      </c>
      <c r="C27" s="46" t="s">
        <v>297</v>
      </c>
      <c r="D27" s="77">
        <v>0</v>
      </c>
      <c r="E27" s="77">
        <v>0</v>
      </c>
      <c r="F27" s="87">
        <f>D27</f>
        <v>0</v>
      </c>
      <c r="G27" s="77">
        <f t="shared" si="2"/>
        <v>0</v>
      </c>
      <c r="M27" s="230"/>
    </row>
    <row r="28" spans="1:13" s="39" customFormat="1" ht="15">
      <c r="A28" s="41" t="s">
        <v>35</v>
      </c>
      <c r="B28" s="41" t="s">
        <v>36</v>
      </c>
      <c r="C28" s="97">
        <f>SUM(C29:C32)</f>
        <v>2410.09</v>
      </c>
      <c r="D28" s="77">
        <f>SUM(D29:D32)</f>
        <v>3855412.26</v>
      </c>
      <c r="E28" s="77">
        <f>SUM(E29:E32)</f>
        <v>3849388.24</v>
      </c>
      <c r="F28" s="77">
        <f>SUM(F29:F32)</f>
        <v>2340633.4899999998</v>
      </c>
      <c r="G28" s="77">
        <f t="shared" si="2"/>
        <v>6024.019999999553</v>
      </c>
      <c r="M28" s="230"/>
    </row>
    <row r="29" spans="1:7" ht="15">
      <c r="A29" s="34" t="s">
        <v>37</v>
      </c>
      <c r="B29" s="34" t="s">
        <v>171</v>
      </c>
      <c r="C29" s="293">
        <v>6</v>
      </c>
      <c r="D29" s="84">
        <v>1194724.44</v>
      </c>
      <c r="E29" s="84">
        <v>1204260.25</v>
      </c>
      <c r="F29" s="84">
        <f>D29</f>
        <v>1194724.44</v>
      </c>
      <c r="G29" s="84">
        <f t="shared" si="2"/>
        <v>-9535.810000000056</v>
      </c>
    </row>
    <row r="30" spans="1:7" ht="15">
      <c r="A30" s="34" t="s">
        <v>39</v>
      </c>
      <c r="B30" s="34" t="s">
        <v>137</v>
      </c>
      <c r="C30" s="285">
        <v>57.08</v>
      </c>
      <c r="D30" s="84">
        <v>400751.51</v>
      </c>
      <c r="E30" s="84">
        <v>393237.75</v>
      </c>
      <c r="F30" s="84">
        <f>D30</f>
        <v>400751.51</v>
      </c>
      <c r="G30" s="84">
        <f t="shared" si="2"/>
        <v>7513.760000000009</v>
      </c>
    </row>
    <row r="31" spans="1:7" ht="15">
      <c r="A31" s="34" t="s">
        <v>42</v>
      </c>
      <c r="B31" s="34" t="s">
        <v>340</v>
      </c>
      <c r="C31" s="286">
        <v>179.86</v>
      </c>
      <c r="D31" s="84">
        <v>707023.14</v>
      </c>
      <c r="E31" s="84">
        <v>679971.74</v>
      </c>
      <c r="F31" s="84">
        <f>D31</f>
        <v>707023.14</v>
      </c>
      <c r="G31" s="84">
        <f t="shared" si="2"/>
        <v>27051.400000000023</v>
      </c>
    </row>
    <row r="32" spans="1:7" ht="15">
      <c r="A32" s="34" t="s">
        <v>41</v>
      </c>
      <c r="B32" s="34" t="s">
        <v>43</v>
      </c>
      <c r="C32" s="286">
        <v>2167.15</v>
      </c>
      <c r="D32" s="84">
        <v>1552913.17</v>
      </c>
      <c r="E32" s="84">
        <v>1571918.5</v>
      </c>
      <c r="F32" s="84">
        <v>38134.4</v>
      </c>
      <c r="G32" s="84">
        <f t="shared" si="2"/>
        <v>-19005.330000000075</v>
      </c>
    </row>
    <row r="33" spans="1:10" s="102" customFormat="1" ht="15.75" thickBot="1">
      <c r="A33" s="446" t="s">
        <v>294</v>
      </c>
      <c r="B33" s="447"/>
      <c r="C33" s="447"/>
      <c r="D33" s="448"/>
      <c r="E33" s="448"/>
      <c r="F33" s="448"/>
      <c r="G33" s="101"/>
      <c r="H33" s="101"/>
      <c r="I33" s="101"/>
      <c r="J33" s="101"/>
    </row>
    <row r="34" spans="1:9" s="67" customFormat="1" ht="15.75" thickBot="1">
      <c r="A34" s="455" t="s">
        <v>413</v>
      </c>
      <c r="B34" s="456"/>
      <c r="C34" s="456"/>
      <c r="D34" s="65">
        <v>953487.97</v>
      </c>
      <c r="E34" s="66"/>
      <c r="F34" s="66"/>
      <c r="G34" s="66"/>
      <c r="H34" s="62"/>
      <c r="I34" s="62"/>
    </row>
    <row r="35" spans="1:9" s="67" customFormat="1" ht="9.75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415</v>
      </c>
      <c r="B36" s="64"/>
      <c r="C36" s="64"/>
      <c r="D36" s="69"/>
      <c r="E36" s="70"/>
      <c r="F36" s="70"/>
      <c r="G36" s="144">
        <f>G14+E26-F26</f>
        <v>-74644.46090000002</v>
      </c>
      <c r="H36" s="62"/>
      <c r="I36" s="62"/>
    </row>
    <row r="37" spans="1:9" s="67" customFormat="1" ht="15">
      <c r="A37" s="516" t="s">
        <v>144</v>
      </c>
      <c r="B37" s="516"/>
      <c r="C37" s="68"/>
      <c r="D37" s="40"/>
      <c r="E37" s="66"/>
      <c r="F37" s="66"/>
      <c r="G37" s="40"/>
      <c r="H37" s="62"/>
      <c r="I37" s="62"/>
    </row>
    <row r="38" spans="1:9" s="67" customFormat="1" ht="15">
      <c r="A38" s="599" t="s">
        <v>145</v>
      </c>
      <c r="B38" s="600"/>
      <c r="C38" s="44" t="s">
        <v>146</v>
      </c>
      <c r="D38" s="44" t="s">
        <v>147</v>
      </c>
      <c r="E38" s="45" t="s">
        <v>148</v>
      </c>
      <c r="F38" s="42" t="s">
        <v>149</v>
      </c>
      <c r="G38" s="45" t="s">
        <v>150</v>
      </c>
      <c r="H38" s="62"/>
      <c r="I38" s="62"/>
    </row>
    <row r="39" spans="1:9" s="67" customFormat="1" ht="15">
      <c r="A39" s="601"/>
      <c r="B39" s="602"/>
      <c r="C39" s="294">
        <v>101</v>
      </c>
      <c r="D39" s="153">
        <f>E39/C39/2</f>
        <v>14.82019801980198</v>
      </c>
      <c r="E39" s="234">
        <v>2993.68</v>
      </c>
      <c r="F39" s="234">
        <v>6278.2</v>
      </c>
      <c r="G39" s="153">
        <f>E39-F39</f>
        <v>-3284.52</v>
      </c>
      <c r="H39" s="62"/>
      <c r="I39" s="298">
        <f>C39</f>
        <v>101</v>
      </c>
    </row>
    <row r="40" spans="1:9" ht="35.25" customHeight="1">
      <c r="A40" s="537" t="s">
        <v>44</v>
      </c>
      <c r="B40" s="537"/>
      <c r="C40" s="537"/>
      <c r="D40" s="537"/>
      <c r="E40" s="537"/>
      <c r="F40" s="537"/>
      <c r="G40" s="537"/>
      <c r="H40" s="537"/>
      <c r="I40" s="537"/>
    </row>
    <row r="42" spans="1:7" s="171" customFormat="1" ht="28.5" customHeight="1">
      <c r="A42" s="105" t="s">
        <v>11</v>
      </c>
      <c r="B42" s="471" t="s">
        <v>45</v>
      </c>
      <c r="C42" s="484"/>
      <c r="D42" s="105" t="s">
        <v>163</v>
      </c>
      <c r="E42" s="105" t="s">
        <v>162</v>
      </c>
      <c r="F42" s="471" t="s">
        <v>46</v>
      </c>
      <c r="G42" s="484"/>
    </row>
    <row r="43" spans="1:7" s="114" customFormat="1" ht="15">
      <c r="A43" s="109" t="s">
        <v>47</v>
      </c>
      <c r="B43" s="473" t="s">
        <v>111</v>
      </c>
      <c r="C43" s="491"/>
      <c r="D43" s="110"/>
      <c r="E43" s="110"/>
      <c r="F43" s="496">
        <f>SUM(F44:G49)</f>
        <v>108732.8026</v>
      </c>
      <c r="G43" s="483"/>
    </row>
    <row r="44" spans="1:13" ht="15" customHeight="1">
      <c r="A44" s="34" t="s">
        <v>16</v>
      </c>
      <c r="B44" s="462" t="s">
        <v>644</v>
      </c>
      <c r="C44" s="489"/>
      <c r="D44" s="403" t="s">
        <v>217</v>
      </c>
      <c r="E44" s="410">
        <v>0.02</v>
      </c>
      <c r="F44" s="525">
        <v>41992.65</v>
      </c>
      <c r="G44" s="526"/>
      <c r="M44" s="35"/>
    </row>
    <row r="45" spans="1:13" ht="15" customHeight="1">
      <c r="A45" s="34" t="s">
        <v>18</v>
      </c>
      <c r="B45" s="462" t="s">
        <v>394</v>
      </c>
      <c r="C45" s="489"/>
      <c r="D45" s="403" t="s">
        <v>164</v>
      </c>
      <c r="E45" s="403">
        <v>2</v>
      </c>
      <c r="F45" s="497">
        <v>5972</v>
      </c>
      <c r="G45" s="497"/>
      <c r="M45" s="35"/>
    </row>
    <row r="46" spans="1:13" ht="15" customHeight="1">
      <c r="A46" s="34" t="s">
        <v>20</v>
      </c>
      <c r="B46" s="462" t="s">
        <v>566</v>
      </c>
      <c r="C46" s="463"/>
      <c r="D46" s="403" t="s">
        <v>164</v>
      </c>
      <c r="E46" s="410">
        <v>1</v>
      </c>
      <c r="F46" s="497">
        <v>37020</v>
      </c>
      <c r="G46" s="497"/>
      <c r="M46" s="35"/>
    </row>
    <row r="47" spans="1:13" ht="15" customHeight="1">
      <c r="A47" s="34" t="s">
        <v>22</v>
      </c>
      <c r="B47" s="462" t="s">
        <v>632</v>
      </c>
      <c r="C47" s="463"/>
      <c r="D47" s="403" t="s">
        <v>164</v>
      </c>
      <c r="E47" s="410">
        <v>3</v>
      </c>
      <c r="F47" s="515">
        <v>11100</v>
      </c>
      <c r="G47" s="515"/>
      <c r="M47" s="35"/>
    </row>
    <row r="48" spans="1:13" ht="15" customHeight="1">
      <c r="A48" s="34" t="s">
        <v>24</v>
      </c>
      <c r="B48" s="449" t="s">
        <v>814</v>
      </c>
      <c r="C48" s="450"/>
      <c r="D48" s="118" t="s">
        <v>391</v>
      </c>
      <c r="E48" s="209">
        <v>4</v>
      </c>
      <c r="F48" s="495">
        <v>11200</v>
      </c>
      <c r="G48" s="495"/>
      <c r="M48" s="35"/>
    </row>
    <row r="49" spans="1:13" ht="15" customHeight="1">
      <c r="A49" s="34" t="s">
        <v>103</v>
      </c>
      <c r="B49" s="529" t="s">
        <v>188</v>
      </c>
      <c r="C49" s="562"/>
      <c r="D49" s="123"/>
      <c r="E49" s="123"/>
      <c r="F49" s="495">
        <f>E26*1%</f>
        <v>1448.1526000000001</v>
      </c>
      <c r="G49" s="495"/>
      <c r="M49" s="35"/>
    </row>
    <row r="50" spans="1:13" ht="15">
      <c r="A50" s="168"/>
      <c r="B50" s="93"/>
      <c r="C50" s="93"/>
      <c r="D50" s="93"/>
      <c r="E50" s="93"/>
      <c r="F50" s="180"/>
      <c r="G50" s="180"/>
      <c r="M50" s="35"/>
    </row>
    <row r="51" s="67" customFormat="1" ht="15"/>
    <row r="52" spans="1:6" s="67" customFormat="1" ht="15">
      <c r="A52" s="67" t="s">
        <v>55</v>
      </c>
      <c r="C52" s="67" t="s">
        <v>49</v>
      </c>
      <c r="F52" s="67" t="s">
        <v>90</v>
      </c>
    </row>
    <row r="53" s="67" customFormat="1" ht="15">
      <c r="F53" s="126" t="s">
        <v>545</v>
      </c>
    </row>
    <row r="54" s="67" customFormat="1" ht="15">
      <c r="A54" s="67" t="s">
        <v>50</v>
      </c>
    </row>
    <row r="55" spans="3:7" s="67" customFormat="1" ht="15">
      <c r="C55" s="128" t="s">
        <v>51</v>
      </c>
      <c r="E55" s="128"/>
      <c r="F55" s="128"/>
      <c r="G55" s="128"/>
    </row>
    <row r="56" s="67" customFormat="1" ht="15"/>
  </sheetData>
  <sheetProtection/>
  <mergeCells count="28">
    <mergeCell ref="B49:C49"/>
    <mergeCell ref="F49:G49"/>
    <mergeCell ref="B47:C47"/>
    <mergeCell ref="B48:C48"/>
    <mergeCell ref="F47:G47"/>
    <mergeCell ref="B46:C46"/>
    <mergeCell ref="F48:G48"/>
    <mergeCell ref="F46:G46"/>
    <mergeCell ref="A12:I12"/>
    <mergeCell ref="A11:I11"/>
    <mergeCell ref="F43:G43"/>
    <mergeCell ref="A38:B39"/>
    <mergeCell ref="B44:C44"/>
    <mergeCell ref="B45:C45"/>
    <mergeCell ref="A40:I40"/>
    <mergeCell ref="F45:G45"/>
    <mergeCell ref="B42:C42"/>
    <mergeCell ref="B43:C43"/>
    <mergeCell ref="A37:B37"/>
    <mergeCell ref="F44:G44"/>
    <mergeCell ref="F42:G42"/>
    <mergeCell ref="A34:C34"/>
    <mergeCell ref="A1:I1"/>
    <mergeCell ref="A2:I2"/>
    <mergeCell ref="A3:K3"/>
    <mergeCell ref="A5:I5"/>
    <mergeCell ref="A10:I10"/>
    <mergeCell ref="A33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FF00"/>
  </sheetPr>
  <dimension ref="A1:N61"/>
  <sheetViews>
    <sheetView zoomScalePageLayoutView="0" workbookViewId="0" topLeftCell="A46">
      <selection activeCell="A54" sqref="A54"/>
    </sheetView>
  </sheetViews>
  <sheetFormatPr defaultColWidth="9.140625" defaultRowHeight="15" outlineLevelCol="1"/>
  <cols>
    <col min="1" max="1" width="5.00390625" style="35" customWidth="1"/>
    <col min="2" max="2" width="48.7109375" style="35" customWidth="1"/>
    <col min="3" max="3" width="12.7109375" style="38" customWidth="1"/>
    <col min="4" max="5" width="12.7109375" style="35" customWidth="1"/>
    <col min="6" max="6" width="15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0.00390625" style="228" bestFit="1" customWidth="1" collapsed="1"/>
    <col min="14" max="14" width="11.421875" style="35" bestFit="1" customWidth="1"/>
    <col min="15" max="16384" width="9.140625" style="35" customWidth="1"/>
  </cols>
  <sheetData>
    <row r="1" spans="1:6" ht="15">
      <c r="A1" s="67"/>
      <c r="B1" s="67"/>
      <c r="C1" s="67"/>
      <c r="D1" s="67"/>
      <c r="E1" s="67"/>
      <c r="F1" s="67"/>
    </row>
    <row r="3" spans="1:9" ht="15">
      <c r="A3" s="475" t="s">
        <v>0</v>
      </c>
      <c r="B3" s="475"/>
      <c r="C3" s="475"/>
      <c r="D3" s="475"/>
      <c r="E3" s="475"/>
      <c r="F3" s="475"/>
      <c r="G3" s="475"/>
      <c r="H3" s="475"/>
      <c r="I3" s="475"/>
    </row>
    <row r="4" spans="1:9" ht="15">
      <c r="A4" s="475" t="s">
        <v>52</v>
      </c>
      <c r="B4" s="475"/>
      <c r="C4" s="475"/>
      <c r="D4" s="475"/>
      <c r="E4" s="475"/>
      <c r="F4" s="475"/>
      <c r="G4" s="475"/>
      <c r="H4" s="475"/>
      <c r="I4" s="475"/>
    </row>
    <row r="5" spans="1:11" ht="15">
      <c r="A5" s="443" t="s">
        <v>408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6" spans="1:9" ht="15">
      <c r="A6" s="157"/>
      <c r="B6" s="157"/>
      <c r="C6" s="237"/>
      <c r="D6" s="157"/>
      <c r="E6" s="157"/>
      <c r="F6" s="157"/>
      <c r="G6" s="157"/>
      <c r="H6" s="157"/>
      <c r="I6" s="157"/>
    </row>
    <row r="7" spans="1:9" ht="15">
      <c r="A7" s="476" t="s">
        <v>1</v>
      </c>
      <c r="B7" s="475"/>
      <c r="C7" s="475"/>
      <c r="D7" s="475"/>
      <c r="E7" s="475"/>
      <c r="F7" s="475"/>
      <c r="G7" s="475"/>
      <c r="H7" s="475"/>
      <c r="I7" s="475"/>
    </row>
    <row r="9" spans="1:11" ht="15">
      <c r="A9" s="67" t="s">
        <v>2</v>
      </c>
      <c r="B9" s="67"/>
      <c r="C9" s="125"/>
      <c r="D9" s="67"/>
      <c r="E9" s="67"/>
      <c r="F9" s="126" t="s">
        <v>140</v>
      </c>
      <c r="G9" s="67"/>
      <c r="H9" s="67"/>
      <c r="I9" s="67"/>
      <c r="J9" s="67"/>
      <c r="K9" s="67"/>
    </row>
    <row r="10" spans="1:11" ht="15">
      <c r="A10" s="67" t="s">
        <v>3</v>
      </c>
      <c r="B10" s="67"/>
      <c r="C10" s="125"/>
      <c r="D10" s="67"/>
      <c r="E10" s="67"/>
      <c r="F10" s="299" t="s">
        <v>304</v>
      </c>
      <c r="G10" s="67"/>
      <c r="H10" s="325">
        <f>254.6+245.8</f>
        <v>500.4</v>
      </c>
      <c r="I10" s="326">
        <f>4381.1</f>
        <v>4381.1</v>
      </c>
      <c r="J10" s="307">
        <f>H10+I10</f>
        <v>4881.5</v>
      </c>
      <c r="K10" s="67"/>
    </row>
    <row r="11" spans="1:11" ht="15">
      <c r="A11" s="67"/>
      <c r="B11" s="67" t="s">
        <v>507</v>
      </c>
      <c r="C11" s="125"/>
      <c r="D11" s="67"/>
      <c r="E11" s="67"/>
      <c r="F11" s="299" t="s">
        <v>526</v>
      </c>
      <c r="G11" s="67"/>
      <c r="H11" s="67"/>
      <c r="I11" s="67"/>
      <c r="J11" s="67"/>
      <c r="K11" s="67"/>
    </row>
    <row r="12" spans="1:11" ht="15">
      <c r="A12" s="445" t="s">
        <v>8</v>
      </c>
      <c r="B12" s="445"/>
      <c r="C12" s="445"/>
      <c r="D12" s="445"/>
      <c r="E12" s="445"/>
      <c r="F12" s="445"/>
      <c r="G12" s="445"/>
      <c r="H12" s="445"/>
      <c r="I12" s="445"/>
      <c r="J12" s="67"/>
      <c r="K12" s="67"/>
    </row>
    <row r="13" spans="1:11" ht="15">
      <c r="A13" s="445" t="s">
        <v>9</v>
      </c>
      <c r="B13" s="445"/>
      <c r="C13" s="445"/>
      <c r="D13" s="445"/>
      <c r="E13" s="445"/>
      <c r="F13" s="445"/>
      <c r="G13" s="445"/>
      <c r="H13" s="445"/>
      <c r="I13" s="445"/>
      <c r="J13" s="67"/>
      <c r="K13" s="67"/>
    </row>
    <row r="14" spans="1:11" ht="15.75" thickBot="1">
      <c r="A14" s="445" t="s">
        <v>10</v>
      </c>
      <c r="B14" s="445"/>
      <c r="C14" s="445"/>
      <c r="D14" s="445"/>
      <c r="E14" s="445"/>
      <c r="F14" s="445"/>
      <c r="G14" s="445"/>
      <c r="H14" s="445"/>
      <c r="I14" s="445"/>
      <c r="J14" s="67"/>
      <c r="K14" s="67"/>
    </row>
    <row r="15" spans="1:11" ht="31.5" customHeight="1" thickBot="1">
      <c r="A15" s="605" t="s">
        <v>367</v>
      </c>
      <c r="B15" s="606"/>
      <c r="C15" s="606"/>
      <c r="D15" s="606"/>
      <c r="E15" s="606"/>
      <c r="F15" s="606"/>
      <c r="G15" s="65">
        <f>'[2]Аллейная 2'!$G$38</f>
        <v>-349272.9983</v>
      </c>
      <c r="H15" s="62"/>
      <c r="I15" s="62"/>
      <c r="J15" s="67"/>
      <c r="K15" s="67"/>
    </row>
    <row r="16" spans="1:11" ht="15">
      <c r="A16" s="67"/>
      <c r="B16" s="67"/>
      <c r="C16" s="125"/>
      <c r="D16" s="67"/>
      <c r="E16" s="67"/>
      <c r="F16" s="67"/>
      <c r="G16" s="67"/>
      <c r="H16" s="67"/>
      <c r="I16" s="67"/>
      <c r="J16" s="67"/>
      <c r="K16" s="67"/>
    </row>
    <row r="17" spans="1:1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  <c r="H17" s="74"/>
      <c r="I17" s="74"/>
      <c r="J17" s="74"/>
      <c r="K17" s="74"/>
    </row>
    <row r="18" spans="1:11" ht="15">
      <c r="A18" s="75" t="s">
        <v>14</v>
      </c>
      <c r="B18" s="41" t="s">
        <v>15</v>
      </c>
      <c r="C18" s="53">
        <f>C19+C20+C21+C22+C23</f>
        <v>13.84</v>
      </c>
      <c r="D18" s="76">
        <v>830188.88</v>
      </c>
      <c r="E18" s="76">
        <v>745460.52</v>
      </c>
      <c r="F18" s="76">
        <f>F19+F20+F21+F22+F23</f>
        <v>830188.88</v>
      </c>
      <c r="G18" s="77">
        <f aca="true" t="shared" si="0" ref="G18:G23">D18-E18</f>
        <v>84728.35999999999</v>
      </c>
      <c r="H18" s="78">
        <f aca="true" t="shared" si="1" ref="H18:H23">C18</f>
        <v>13.84</v>
      </c>
      <c r="I18" s="167"/>
      <c r="J18" s="167">
        <f>D18/C18/12</f>
        <v>4998.728805394991</v>
      </c>
      <c r="K18" s="167"/>
    </row>
    <row r="19" spans="1:11" ht="15">
      <c r="A19" s="81" t="s">
        <v>16</v>
      </c>
      <c r="B19" s="34" t="s">
        <v>17</v>
      </c>
      <c r="C19" s="37">
        <v>3.46</v>
      </c>
      <c r="D19" s="83">
        <f>D18*I19</f>
        <v>207547.22</v>
      </c>
      <c r="E19" s="83">
        <f>E18*I19</f>
        <v>186365.13</v>
      </c>
      <c r="F19" s="83">
        <f aca="true" t="shared" si="2" ref="F19:F27">D19</f>
        <v>207547.22</v>
      </c>
      <c r="G19" s="84">
        <f t="shared" si="0"/>
        <v>21182.089999999997</v>
      </c>
      <c r="H19" s="78">
        <f t="shared" si="1"/>
        <v>3.46</v>
      </c>
      <c r="I19" s="67">
        <f>H19/H18</f>
        <v>0.25</v>
      </c>
      <c r="J19" s="67"/>
      <c r="K19" s="67"/>
    </row>
    <row r="20" spans="1:11" ht="15">
      <c r="A20" s="81" t="s">
        <v>18</v>
      </c>
      <c r="B20" s="34" t="s">
        <v>19</v>
      </c>
      <c r="C20" s="85">
        <v>1.69</v>
      </c>
      <c r="D20" s="83">
        <f>D18*I20</f>
        <v>101374.2201734104</v>
      </c>
      <c r="E20" s="83">
        <f>E18*I20</f>
        <v>91028.05482658959</v>
      </c>
      <c r="F20" s="83">
        <f t="shared" si="2"/>
        <v>101374.2201734104</v>
      </c>
      <c r="G20" s="84">
        <f t="shared" si="0"/>
        <v>10346.16534682081</v>
      </c>
      <c r="H20" s="78">
        <f t="shared" si="1"/>
        <v>1.69</v>
      </c>
      <c r="I20" s="67">
        <f>H20/H18</f>
        <v>0.12210982658959538</v>
      </c>
      <c r="J20" s="67"/>
      <c r="K20" s="67"/>
    </row>
    <row r="21" spans="1:11" ht="15">
      <c r="A21" s="81" t="s">
        <v>20</v>
      </c>
      <c r="B21" s="34" t="s">
        <v>21</v>
      </c>
      <c r="C21" s="85">
        <v>2.15</v>
      </c>
      <c r="D21" s="83">
        <f>D18*I21</f>
        <v>128967.20317919075</v>
      </c>
      <c r="E21" s="83">
        <f>E18*I21</f>
        <v>115804.92182080925</v>
      </c>
      <c r="F21" s="83">
        <f t="shared" si="2"/>
        <v>128967.20317919075</v>
      </c>
      <c r="G21" s="84">
        <f t="shared" si="0"/>
        <v>13162.2813583815</v>
      </c>
      <c r="H21" s="78">
        <f t="shared" si="1"/>
        <v>2.15</v>
      </c>
      <c r="I21" s="67">
        <f>H21/H18</f>
        <v>0.15534682080924855</v>
      </c>
      <c r="J21" s="67"/>
      <c r="K21" s="67"/>
    </row>
    <row r="22" spans="1:11" ht="15">
      <c r="A22" s="81" t="s">
        <v>22</v>
      </c>
      <c r="B22" s="34" t="s">
        <v>23</v>
      </c>
      <c r="C22" s="85">
        <v>3.04</v>
      </c>
      <c r="D22" s="83">
        <f>D18*I22</f>
        <v>182353.62682080924</v>
      </c>
      <c r="E22" s="83">
        <f>E18*I22</f>
        <v>163742.77317919076</v>
      </c>
      <c r="F22" s="83">
        <f t="shared" si="2"/>
        <v>182353.62682080924</v>
      </c>
      <c r="G22" s="84">
        <f t="shared" si="0"/>
        <v>18610.85364161848</v>
      </c>
      <c r="H22" s="78">
        <f t="shared" si="1"/>
        <v>3.04</v>
      </c>
      <c r="I22" s="67">
        <f>H22/H18</f>
        <v>0.21965317919075145</v>
      </c>
      <c r="J22" s="67"/>
      <c r="K22" s="67"/>
    </row>
    <row r="23" spans="1:11" ht="15">
      <c r="A23" s="81" t="s">
        <v>24</v>
      </c>
      <c r="B23" s="34" t="s">
        <v>143</v>
      </c>
      <c r="C23" s="85">
        <v>3.5</v>
      </c>
      <c r="D23" s="83">
        <f>D18*I23</f>
        <v>209946.6098265896</v>
      </c>
      <c r="E23" s="83">
        <f>E18*I23</f>
        <v>188519.64017341041</v>
      </c>
      <c r="F23" s="83">
        <f t="shared" si="2"/>
        <v>209946.6098265896</v>
      </c>
      <c r="G23" s="84">
        <f t="shared" si="0"/>
        <v>21426.9696531792</v>
      </c>
      <c r="H23" s="78">
        <f t="shared" si="1"/>
        <v>3.5</v>
      </c>
      <c r="I23" s="67">
        <f>H23/H18</f>
        <v>0.25289017341040465</v>
      </c>
      <c r="J23" s="67"/>
      <c r="K23" s="67"/>
    </row>
    <row r="24" spans="1:14" ht="29.25">
      <c r="A24" s="41" t="s">
        <v>25</v>
      </c>
      <c r="B24" s="41" t="s">
        <v>247</v>
      </c>
      <c r="C24" s="46">
        <v>7.15</v>
      </c>
      <c r="D24" s="241">
        <v>377017.16</v>
      </c>
      <c r="E24" s="76">
        <v>375293.18</v>
      </c>
      <c r="F24" s="241">
        <f>F54</f>
        <v>467514</v>
      </c>
      <c r="G24" s="77">
        <f aca="true" t="shared" si="3" ref="G24:G34">D24-E24</f>
        <v>1723.9799999999814</v>
      </c>
      <c r="H24" s="78"/>
      <c r="I24" s="67"/>
      <c r="J24" s="67"/>
      <c r="K24" s="67"/>
      <c r="N24" s="159"/>
    </row>
    <row r="25" spans="1:11" ht="15">
      <c r="A25" s="41" t="s">
        <v>27</v>
      </c>
      <c r="B25" s="41" t="s">
        <v>26</v>
      </c>
      <c r="C25" s="90">
        <v>3.86</v>
      </c>
      <c r="D25" s="77">
        <v>202976.47</v>
      </c>
      <c r="E25" s="77">
        <v>202323.55</v>
      </c>
      <c r="F25" s="76">
        <f>D25</f>
        <v>202976.47</v>
      </c>
      <c r="G25" s="77">
        <f t="shared" si="3"/>
        <v>652.9200000000128</v>
      </c>
      <c r="H25" s="39"/>
      <c r="I25" s="39"/>
      <c r="J25" s="39"/>
      <c r="K25" s="39"/>
    </row>
    <row r="26" spans="1:11" ht="15">
      <c r="A26" s="41" t="s">
        <v>29</v>
      </c>
      <c r="B26" s="41" t="s">
        <v>28</v>
      </c>
      <c r="C26" s="90">
        <v>0</v>
      </c>
      <c r="D26" s="77">
        <v>0</v>
      </c>
      <c r="E26" s="77">
        <v>0</v>
      </c>
      <c r="F26" s="77">
        <f t="shared" si="2"/>
        <v>0</v>
      </c>
      <c r="G26" s="77">
        <f t="shared" si="3"/>
        <v>0</v>
      </c>
      <c r="H26" s="39"/>
      <c r="I26" s="39"/>
      <c r="J26" s="39"/>
      <c r="K26" s="39"/>
    </row>
    <row r="27" spans="1:11" ht="15">
      <c r="A27" s="41" t="s">
        <v>31</v>
      </c>
      <c r="B27" s="41" t="s">
        <v>161</v>
      </c>
      <c r="C27" s="90">
        <v>12.54</v>
      </c>
      <c r="D27" s="77">
        <v>0</v>
      </c>
      <c r="E27" s="77">
        <v>0</v>
      </c>
      <c r="F27" s="77">
        <f t="shared" si="2"/>
        <v>0</v>
      </c>
      <c r="G27" s="77">
        <f t="shared" si="3"/>
        <v>0</v>
      </c>
      <c r="H27" s="39"/>
      <c r="I27" s="39"/>
      <c r="J27" s="39"/>
      <c r="K27" s="39"/>
    </row>
    <row r="28" spans="1:14" ht="15">
      <c r="A28" s="41" t="s">
        <v>191</v>
      </c>
      <c r="B28" s="41" t="s">
        <v>116</v>
      </c>
      <c r="C28" s="90">
        <v>5</v>
      </c>
      <c r="D28" s="77">
        <v>299356.45</v>
      </c>
      <c r="E28" s="77">
        <v>264440.14</v>
      </c>
      <c r="F28" s="87">
        <f>F42</f>
        <v>104762.44140000001</v>
      </c>
      <c r="G28" s="77">
        <f t="shared" si="3"/>
        <v>34916.31</v>
      </c>
      <c r="H28" s="39"/>
      <c r="I28" s="39"/>
      <c r="J28" s="39"/>
      <c r="K28" s="39"/>
      <c r="M28" s="239"/>
      <c r="N28" s="159"/>
    </row>
    <row r="29" spans="1:11" ht="15">
      <c r="A29" s="41" t="s">
        <v>236</v>
      </c>
      <c r="B29" s="41" t="s">
        <v>34</v>
      </c>
      <c r="C29" s="90">
        <v>0</v>
      </c>
      <c r="D29" s="77">
        <v>0</v>
      </c>
      <c r="E29" s="77">
        <v>0</v>
      </c>
      <c r="F29" s="87">
        <v>0</v>
      </c>
      <c r="G29" s="77">
        <f t="shared" si="3"/>
        <v>0</v>
      </c>
      <c r="H29" s="39"/>
      <c r="I29" s="39"/>
      <c r="J29" s="39"/>
      <c r="K29" s="39"/>
    </row>
    <row r="30" spans="1:11" ht="15">
      <c r="A30" s="41" t="s">
        <v>192</v>
      </c>
      <c r="B30" s="41" t="s">
        <v>36</v>
      </c>
      <c r="C30" s="90"/>
      <c r="D30" s="77">
        <f>SUM(D31:D34)</f>
        <v>2124593.15</v>
      </c>
      <c r="E30" s="77">
        <f>SUM(E31:E34)</f>
        <v>2025501.63</v>
      </c>
      <c r="F30" s="77">
        <f>SUM(F31:F34)</f>
        <v>2124593.15</v>
      </c>
      <c r="G30" s="77">
        <f t="shared" si="3"/>
        <v>99091.52000000002</v>
      </c>
      <c r="H30" s="39"/>
      <c r="I30" s="39"/>
      <c r="J30" s="39"/>
      <c r="K30" s="39"/>
    </row>
    <row r="31" spans="1:7" ht="15">
      <c r="A31" s="34" t="s">
        <v>194</v>
      </c>
      <c r="B31" s="34" t="s">
        <v>171</v>
      </c>
      <c r="C31" s="293">
        <v>6</v>
      </c>
      <c r="D31" s="84">
        <v>612035.71</v>
      </c>
      <c r="E31" s="84">
        <v>602040.33</v>
      </c>
      <c r="F31" s="84">
        <f>D31</f>
        <v>612035.71</v>
      </c>
      <c r="G31" s="84">
        <f t="shared" si="3"/>
        <v>9995.380000000005</v>
      </c>
    </row>
    <row r="32" spans="1:7" ht="15">
      <c r="A32" s="34" t="s">
        <v>195</v>
      </c>
      <c r="B32" s="34" t="s">
        <v>137</v>
      </c>
      <c r="C32" s="285">
        <v>57.08</v>
      </c>
      <c r="D32" s="84">
        <v>390678.11</v>
      </c>
      <c r="E32" s="84">
        <v>386196.87</v>
      </c>
      <c r="F32" s="84">
        <f>D32</f>
        <v>390678.11</v>
      </c>
      <c r="G32" s="84">
        <f t="shared" si="3"/>
        <v>4481.239999999991</v>
      </c>
    </row>
    <row r="33" spans="1:7" ht="26.25">
      <c r="A33" s="34" t="s">
        <v>196</v>
      </c>
      <c r="B33" s="34" t="s">
        <v>340</v>
      </c>
      <c r="C33" s="43" t="s">
        <v>366</v>
      </c>
      <c r="D33" s="84">
        <v>414869.65</v>
      </c>
      <c r="E33" s="84">
        <v>410190.42</v>
      </c>
      <c r="F33" s="84">
        <f>D33</f>
        <v>414869.65</v>
      </c>
      <c r="G33" s="84">
        <f t="shared" si="3"/>
        <v>4679.23000000004</v>
      </c>
    </row>
    <row r="34" spans="1:7" ht="26.25">
      <c r="A34" s="34" t="s">
        <v>197</v>
      </c>
      <c r="B34" s="34" t="s">
        <v>43</v>
      </c>
      <c r="C34" s="43" t="s">
        <v>366</v>
      </c>
      <c r="D34" s="84">
        <v>707009.68</v>
      </c>
      <c r="E34" s="84">
        <v>627074.01</v>
      </c>
      <c r="F34" s="84">
        <f>D34</f>
        <v>707009.68</v>
      </c>
      <c r="G34" s="84">
        <f t="shared" si="3"/>
        <v>79935.67000000004</v>
      </c>
    </row>
    <row r="35" spans="1:11" ht="15.75" thickBot="1">
      <c r="A35" s="446" t="s">
        <v>294</v>
      </c>
      <c r="B35" s="447"/>
      <c r="C35" s="447"/>
      <c r="D35" s="448"/>
      <c r="E35" s="448"/>
      <c r="F35" s="448"/>
      <c r="G35" s="101"/>
      <c r="H35" s="101"/>
      <c r="I35" s="101"/>
      <c r="J35" s="101"/>
      <c r="K35" s="102"/>
    </row>
    <row r="36" spans="1:11" ht="15.75" thickBot="1">
      <c r="A36" s="455" t="s">
        <v>413</v>
      </c>
      <c r="B36" s="456"/>
      <c r="C36" s="456"/>
      <c r="D36" s="65">
        <v>1168814.45</v>
      </c>
      <c r="E36" s="66"/>
      <c r="F36" s="66"/>
      <c r="G36" s="66"/>
      <c r="H36" s="62"/>
      <c r="I36" s="62"/>
      <c r="J36" s="67"/>
      <c r="K36" s="67"/>
    </row>
    <row r="37" spans="1:11" ht="15.75" thickBot="1">
      <c r="A37" s="240"/>
      <c r="B37" s="68"/>
      <c r="C37" s="68"/>
      <c r="D37" s="216"/>
      <c r="E37" s="66"/>
      <c r="F37" s="66"/>
      <c r="G37" s="66"/>
      <c r="H37" s="62"/>
      <c r="I37" s="62"/>
      <c r="J37" s="67"/>
      <c r="K37" s="67"/>
    </row>
    <row r="38" spans="1:14" ht="27" customHeight="1" thickBot="1">
      <c r="A38" s="605" t="s">
        <v>452</v>
      </c>
      <c r="B38" s="606"/>
      <c r="C38" s="606"/>
      <c r="D38" s="606"/>
      <c r="E38" s="606"/>
      <c r="F38" s="606"/>
      <c r="G38" s="144">
        <f>G15+E28-F28+E24-F24</f>
        <v>-281816.1197</v>
      </c>
      <c r="H38" s="62"/>
      <c r="I38" s="62"/>
      <c r="J38" s="67"/>
      <c r="K38" s="67"/>
      <c r="M38" s="239"/>
      <c r="N38" s="159"/>
    </row>
    <row r="39" spans="1:9" ht="27" customHeight="1">
      <c r="A39" s="537" t="s">
        <v>44</v>
      </c>
      <c r="B39" s="594"/>
      <c r="C39" s="594"/>
      <c r="D39" s="594"/>
      <c r="E39" s="594"/>
      <c r="F39" s="594"/>
      <c r="G39" s="594"/>
      <c r="H39" s="196"/>
      <c r="I39" s="196"/>
    </row>
    <row r="41" spans="1:11" ht="28.5">
      <c r="A41" s="105" t="s">
        <v>11</v>
      </c>
      <c r="B41" s="471" t="s">
        <v>45</v>
      </c>
      <c r="C41" s="484"/>
      <c r="D41" s="105" t="s">
        <v>163</v>
      </c>
      <c r="E41" s="105" t="s">
        <v>162</v>
      </c>
      <c r="F41" s="471" t="s">
        <v>46</v>
      </c>
      <c r="G41" s="484"/>
      <c r="H41" s="171"/>
      <c r="I41" s="171"/>
      <c r="J41" s="171"/>
      <c r="K41" s="171"/>
    </row>
    <row r="42" spans="1:11" ht="15">
      <c r="A42" s="109" t="s">
        <v>47</v>
      </c>
      <c r="B42" s="473" t="s">
        <v>111</v>
      </c>
      <c r="C42" s="491"/>
      <c r="D42" s="110"/>
      <c r="E42" s="110"/>
      <c r="F42" s="496">
        <f>SUM(F43:G53)</f>
        <v>104762.44140000001</v>
      </c>
      <c r="G42" s="483"/>
      <c r="H42" s="114"/>
      <c r="I42" s="114"/>
      <c r="J42" s="114"/>
      <c r="K42" s="114"/>
    </row>
    <row r="43" spans="1:7" ht="39" customHeight="1">
      <c r="A43" s="34" t="s">
        <v>16</v>
      </c>
      <c r="B43" s="462" t="s">
        <v>645</v>
      </c>
      <c r="C43" s="489"/>
      <c r="D43" s="403" t="s">
        <v>164</v>
      </c>
      <c r="E43" s="431" t="s">
        <v>646</v>
      </c>
      <c r="F43" s="525">
        <v>21200</v>
      </c>
      <c r="G43" s="526"/>
    </row>
    <row r="44" spans="1:7" ht="15">
      <c r="A44" s="34" t="s">
        <v>18</v>
      </c>
      <c r="B44" s="493" t="s">
        <v>647</v>
      </c>
      <c r="C44" s="494"/>
      <c r="D44" s="403" t="s">
        <v>164</v>
      </c>
      <c r="E44" s="403">
        <v>1</v>
      </c>
      <c r="F44" s="525">
        <v>1800</v>
      </c>
      <c r="G44" s="526"/>
    </row>
    <row r="45" spans="1:7" ht="15">
      <c r="A45" s="34" t="s">
        <v>20</v>
      </c>
      <c r="B45" s="462" t="s">
        <v>648</v>
      </c>
      <c r="C45" s="489"/>
      <c r="D45" s="403" t="s">
        <v>164</v>
      </c>
      <c r="E45" s="403">
        <v>1</v>
      </c>
      <c r="F45" s="525">
        <v>2391</v>
      </c>
      <c r="G45" s="526"/>
    </row>
    <row r="46" spans="1:7" ht="15">
      <c r="A46" s="34" t="s">
        <v>22</v>
      </c>
      <c r="B46" s="462" t="s">
        <v>649</v>
      </c>
      <c r="C46" s="489"/>
      <c r="D46" s="403" t="s">
        <v>217</v>
      </c>
      <c r="E46" s="403">
        <v>0.01</v>
      </c>
      <c r="F46" s="525">
        <v>17227.04</v>
      </c>
      <c r="G46" s="526"/>
    </row>
    <row r="47" spans="1:7" ht="18" customHeight="1">
      <c r="A47" s="34" t="s">
        <v>24</v>
      </c>
      <c r="B47" s="462" t="s">
        <v>650</v>
      </c>
      <c r="C47" s="489"/>
      <c r="D47" s="403"/>
      <c r="E47" s="403"/>
      <c r="F47" s="604">
        <v>8000</v>
      </c>
      <c r="G47" s="510"/>
    </row>
    <row r="48" spans="1:7" ht="15">
      <c r="A48" s="34" t="s">
        <v>103</v>
      </c>
      <c r="B48" s="462" t="s">
        <v>651</v>
      </c>
      <c r="C48" s="489"/>
      <c r="D48" s="403"/>
      <c r="E48" s="403"/>
      <c r="F48" s="604">
        <v>18500</v>
      </c>
      <c r="G48" s="510"/>
    </row>
    <row r="49" spans="1:7" ht="15">
      <c r="A49" s="34" t="s">
        <v>104</v>
      </c>
      <c r="B49" s="462" t="s">
        <v>818</v>
      </c>
      <c r="C49" s="489"/>
      <c r="D49" s="403" t="s">
        <v>164</v>
      </c>
      <c r="E49" s="403">
        <v>4</v>
      </c>
      <c r="F49" s="663">
        <v>2200</v>
      </c>
      <c r="G49" s="664"/>
    </row>
    <row r="50" spans="1:7" ht="15">
      <c r="A50" s="34" t="s">
        <v>117</v>
      </c>
      <c r="B50" s="462" t="s">
        <v>819</v>
      </c>
      <c r="C50" s="489"/>
      <c r="D50" s="403"/>
      <c r="E50" s="403"/>
      <c r="F50" s="624">
        <v>16800</v>
      </c>
      <c r="G50" s="625"/>
    </row>
    <row r="51" spans="1:7" ht="19.5" customHeight="1">
      <c r="A51" s="34" t="s">
        <v>118</v>
      </c>
      <c r="B51" s="449" t="s">
        <v>814</v>
      </c>
      <c r="C51" s="451"/>
      <c r="D51" s="118" t="s">
        <v>391</v>
      </c>
      <c r="E51" s="118">
        <v>5</v>
      </c>
      <c r="F51" s="521">
        <v>14000</v>
      </c>
      <c r="G51" s="522"/>
    </row>
    <row r="52" spans="1:7" ht="18.75" customHeight="1">
      <c r="A52" s="34" t="s">
        <v>119</v>
      </c>
      <c r="B52" s="462"/>
      <c r="C52" s="489"/>
      <c r="D52" s="403"/>
      <c r="E52" s="338"/>
      <c r="F52" s="525"/>
      <c r="G52" s="526"/>
    </row>
    <row r="53" spans="1:7" ht="14.25" customHeight="1">
      <c r="A53" s="34" t="s">
        <v>139</v>
      </c>
      <c r="B53" s="511" t="s">
        <v>188</v>
      </c>
      <c r="C53" s="512"/>
      <c r="D53" s="123"/>
      <c r="E53" s="123"/>
      <c r="F53" s="495">
        <f>E28*1%</f>
        <v>2644.4014</v>
      </c>
      <c r="G53" s="495"/>
    </row>
    <row r="54" spans="1:11" ht="15">
      <c r="A54" s="41" t="s">
        <v>25</v>
      </c>
      <c r="B54" s="607" t="s">
        <v>330</v>
      </c>
      <c r="C54" s="608"/>
      <c r="D54" s="118"/>
      <c r="E54" s="118"/>
      <c r="F54" s="609">
        <f>SUM(F55:F58)</f>
        <v>467514</v>
      </c>
      <c r="G54" s="610"/>
      <c r="H54" s="67"/>
      <c r="I54" s="67"/>
      <c r="J54" s="67"/>
      <c r="K54" s="67"/>
    </row>
    <row r="55" spans="1:11" ht="15">
      <c r="A55" s="34" t="s">
        <v>279</v>
      </c>
      <c r="B55" s="493" t="s">
        <v>289</v>
      </c>
      <c r="C55" s="494"/>
      <c r="D55" s="118"/>
      <c r="E55" s="118"/>
      <c r="F55" s="497">
        <f>35000*12</f>
        <v>420000</v>
      </c>
      <c r="G55" s="497"/>
      <c r="H55" s="67"/>
      <c r="I55" s="67"/>
      <c r="J55" s="67"/>
      <c r="K55" s="67"/>
    </row>
    <row r="56" spans="1:11" ht="15">
      <c r="A56" s="34" t="s">
        <v>280</v>
      </c>
      <c r="B56" s="347" t="s">
        <v>653</v>
      </c>
      <c r="C56" s="122"/>
      <c r="D56" s="337" t="s">
        <v>164</v>
      </c>
      <c r="E56" s="337">
        <v>1</v>
      </c>
      <c r="F56" s="497">
        <v>1514</v>
      </c>
      <c r="G56" s="497"/>
      <c r="H56" s="67"/>
      <c r="I56" s="67"/>
      <c r="J56" s="67"/>
      <c r="K56" s="67"/>
    </row>
    <row r="57" spans="1:11" ht="15">
      <c r="A57" s="34" t="s">
        <v>287</v>
      </c>
      <c r="B57" s="347" t="s">
        <v>654</v>
      </c>
      <c r="C57" s="122"/>
      <c r="D57" s="337"/>
      <c r="E57" s="337"/>
      <c r="F57" s="497">
        <v>46000</v>
      </c>
      <c r="G57" s="497"/>
      <c r="H57" s="67"/>
      <c r="I57" s="67"/>
      <c r="J57" s="67"/>
      <c r="K57" s="67"/>
    </row>
    <row r="58" spans="1:11" ht="15">
      <c r="A58" s="34" t="s">
        <v>288</v>
      </c>
      <c r="B58" s="493"/>
      <c r="C58" s="494"/>
      <c r="D58" s="337"/>
      <c r="E58" s="337"/>
      <c r="F58" s="497"/>
      <c r="G58" s="497"/>
      <c r="H58" s="67"/>
      <c r="I58" s="67"/>
      <c r="J58" s="67"/>
      <c r="K58" s="67"/>
    </row>
    <row r="59" spans="1:11" ht="15">
      <c r="A59" s="67"/>
      <c r="B59" s="67"/>
      <c r="C59" s="125"/>
      <c r="D59" s="67"/>
      <c r="E59" s="67"/>
      <c r="F59" s="67"/>
      <c r="G59" s="67"/>
      <c r="H59" s="67"/>
      <c r="I59" s="67"/>
      <c r="J59" s="67"/>
      <c r="K59" s="67"/>
    </row>
    <row r="60" spans="1:11" ht="15">
      <c r="A60" s="67"/>
      <c r="B60" s="67" t="s">
        <v>49</v>
      </c>
      <c r="C60" s="67"/>
      <c r="D60" s="67"/>
      <c r="E60" s="67" t="s">
        <v>90</v>
      </c>
      <c r="F60" s="67"/>
      <c r="G60" s="67"/>
      <c r="H60" s="67"/>
      <c r="I60" s="67"/>
      <c r="J60" s="67"/>
      <c r="K60" s="67"/>
    </row>
    <row r="61" spans="1:6" ht="15">
      <c r="A61" s="67"/>
      <c r="B61" s="67"/>
      <c r="C61" s="67"/>
      <c r="D61" s="67"/>
      <c r="E61" s="126" t="s">
        <v>545</v>
      </c>
      <c r="F61" s="67"/>
    </row>
  </sheetData>
  <sheetProtection/>
  <mergeCells count="46">
    <mergeCell ref="A14:I14"/>
    <mergeCell ref="A36:C36"/>
    <mergeCell ref="F56:G56"/>
    <mergeCell ref="F52:G52"/>
    <mergeCell ref="F51:G51"/>
    <mergeCell ref="B47:C47"/>
    <mergeCell ref="B49:C49"/>
    <mergeCell ref="B48:C48"/>
    <mergeCell ref="F47:G47"/>
    <mergeCell ref="A39:G39"/>
    <mergeCell ref="A3:I3"/>
    <mergeCell ref="A4:I4"/>
    <mergeCell ref="A5:K5"/>
    <mergeCell ref="A7:I7"/>
    <mergeCell ref="A12:I12"/>
    <mergeCell ref="A13:I13"/>
    <mergeCell ref="A35:F35"/>
    <mergeCell ref="A38:F38"/>
    <mergeCell ref="A15:F15"/>
    <mergeCell ref="B41:C41"/>
    <mergeCell ref="F41:G41"/>
    <mergeCell ref="B58:C58"/>
    <mergeCell ref="F58:G58"/>
    <mergeCell ref="B54:C54"/>
    <mergeCell ref="F54:G54"/>
    <mergeCell ref="F55:G55"/>
    <mergeCell ref="B55:C55"/>
    <mergeCell ref="F57:G57"/>
    <mergeCell ref="F48:G48"/>
    <mergeCell ref="F49:G49"/>
    <mergeCell ref="B52:C52"/>
    <mergeCell ref="B53:C53"/>
    <mergeCell ref="F53:G53"/>
    <mergeCell ref="B42:C42"/>
    <mergeCell ref="F42:G42"/>
    <mergeCell ref="B43:C43"/>
    <mergeCell ref="F43:G43"/>
    <mergeCell ref="B44:C44"/>
    <mergeCell ref="F44:G44"/>
    <mergeCell ref="B45:C45"/>
    <mergeCell ref="F45:G45"/>
    <mergeCell ref="F50:G50"/>
    <mergeCell ref="B51:C51"/>
    <mergeCell ref="F46:G46"/>
    <mergeCell ref="B50:C50"/>
    <mergeCell ref="B46:C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FF00"/>
  </sheetPr>
  <dimension ref="A1:M52"/>
  <sheetViews>
    <sheetView zoomScalePageLayoutView="0" workbookViewId="0" topLeftCell="A38">
      <selection activeCell="G38" sqref="G38"/>
    </sheetView>
  </sheetViews>
  <sheetFormatPr defaultColWidth="9.140625" defaultRowHeight="15" outlineLevelCol="1"/>
  <cols>
    <col min="1" max="1" width="5.7109375" style="57" customWidth="1"/>
    <col min="2" max="2" width="49.8515625" style="57" customWidth="1"/>
    <col min="3" max="3" width="13.28125" style="57" customWidth="1"/>
    <col min="4" max="4" width="14.8515625" style="57" customWidth="1"/>
    <col min="5" max="5" width="13.00390625" style="57" customWidth="1"/>
    <col min="6" max="6" width="13.140625" style="57" customWidth="1"/>
    <col min="7" max="7" width="14.57421875" style="57" customWidth="1"/>
    <col min="8" max="10" width="11.57421875" style="57" hidden="1" customWidth="1" outlineLevel="1"/>
    <col min="11" max="11" width="9.140625" style="57" customWidth="1" collapsed="1"/>
    <col min="12" max="12" width="10.00390625" style="57" bestFit="1" customWidth="1"/>
    <col min="13" max="13" width="15.8515625" style="57" customWidth="1"/>
    <col min="14" max="16384" width="9.140625" style="57" customWidth="1"/>
  </cols>
  <sheetData>
    <row r="1" spans="1:10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</row>
    <row r="2" spans="1:10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</row>
    <row r="3" spans="1:10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</row>
    <row r="4" spans="1:10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</row>
    <row r="7" spans="1:9" s="59" customFormat="1" ht="16.5" customHeight="1">
      <c r="A7" s="59" t="s">
        <v>2</v>
      </c>
      <c r="F7" s="60" t="s">
        <v>151</v>
      </c>
      <c r="H7" s="60"/>
      <c r="I7" s="60"/>
    </row>
    <row r="8" spans="1:11" s="59" customFormat="1" ht="12.75">
      <c r="A8" s="59" t="s">
        <v>3</v>
      </c>
      <c r="F8" s="300" t="s">
        <v>368</v>
      </c>
      <c r="H8" s="60">
        <f>106.5+74.4+73.2+51.2+38.4</f>
        <v>343.7</v>
      </c>
      <c r="I8" s="61">
        <v>2173.3</v>
      </c>
      <c r="J8" s="243">
        <f>H8+I8</f>
        <v>2517</v>
      </c>
      <c r="K8" s="251"/>
    </row>
    <row r="9" spans="2:11" s="59" customFormat="1" ht="15">
      <c r="B9" s="67" t="s">
        <v>507</v>
      </c>
      <c r="F9" s="300" t="s">
        <v>527</v>
      </c>
      <c r="H9" s="60"/>
      <c r="I9" s="61"/>
      <c r="J9" s="243"/>
      <c r="K9" s="251"/>
    </row>
    <row r="10" spans="1:10" s="59" customFormat="1" ht="12.7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  <c r="J10" s="445"/>
    </row>
    <row r="11" spans="1:10" s="59" customFormat="1" ht="12.7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  <c r="J11" s="445"/>
    </row>
    <row r="12" spans="1:10" s="59" customFormat="1" ht="12.7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  <c r="J12" s="445"/>
    </row>
    <row r="13" spans="1:10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  <c r="J13" s="62"/>
    </row>
    <row r="14" spans="1:10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'[2]Телевизионная 10'!$G$35</f>
        <v>-15311.519999999997</v>
      </c>
      <c r="H14" s="62"/>
      <c r="I14" s="62"/>
      <c r="J14" s="62"/>
    </row>
    <row r="15" spans="1:10" s="67" customFormat="1" ht="15.75" thickBot="1">
      <c r="A15" s="63" t="s">
        <v>336</v>
      </c>
      <c r="B15" s="64"/>
      <c r="C15" s="64"/>
      <c r="D15" s="69"/>
      <c r="E15" s="70"/>
      <c r="F15" s="70"/>
      <c r="G15" s="65">
        <f>'[2]Телевизионная 10'!$G$36</f>
        <v>281941.2581</v>
      </c>
      <c r="H15" s="62"/>
      <c r="I15" s="62"/>
      <c r="J15" s="62"/>
    </row>
    <row r="16" s="59" customFormat="1" ht="6.75" customHeight="1"/>
    <row r="17" spans="1:7" s="74" customFormat="1" ht="52.5" customHeight="1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13" s="79" customFormat="1" ht="14.25">
      <c r="A18" s="133" t="s">
        <v>14</v>
      </c>
      <c r="B18" s="41" t="s">
        <v>15</v>
      </c>
      <c r="C18" s="135">
        <f>C19+C20+C21+C22</f>
        <v>9.879999999999999</v>
      </c>
      <c r="D18" s="76">
        <v>326154.48</v>
      </c>
      <c r="E18" s="76">
        <v>323702.52</v>
      </c>
      <c r="F18" s="76">
        <f>D18</f>
        <v>326154.48</v>
      </c>
      <c r="G18" s="77">
        <f>D18-E18</f>
        <v>2451.9599999999627</v>
      </c>
      <c r="H18" s="78">
        <f>C18</f>
        <v>9.879999999999999</v>
      </c>
      <c r="I18" s="78"/>
      <c r="L18" s="136"/>
      <c r="M18" s="137"/>
    </row>
    <row r="19" spans="1:10" s="59" customFormat="1" ht="15">
      <c r="A19" s="138" t="s">
        <v>16</v>
      </c>
      <c r="B19" s="34" t="s">
        <v>17</v>
      </c>
      <c r="C19" s="99">
        <v>3.46</v>
      </c>
      <c r="D19" s="83">
        <f>D18*J19</f>
        <v>114220.09117408907</v>
      </c>
      <c r="E19" s="83">
        <f>E18*J19</f>
        <v>113361.40882591094</v>
      </c>
      <c r="F19" s="83">
        <f>D19</f>
        <v>114220.09117408907</v>
      </c>
      <c r="G19" s="84">
        <f>D19-E19</f>
        <v>858.6823481781321</v>
      </c>
      <c r="H19" s="78">
        <f>C19</f>
        <v>3.46</v>
      </c>
      <c r="I19" s="78"/>
      <c r="J19" s="59">
        <f>H19/H18</f>
        <v>0.3502024291497976</v>
      </c>
    </row>
    <row r="20" spans="1:10" s="59" customFormat="1" ht="15">
      <c r="A20" s="138" t="s">
        <v>18</v>
      </c>
      <c r="B20" s="34" t="s">
        <v>19</v>
      </c>
      <c r="C20" s="99">
        <v>1.69</v>
      </c>
      <c r="D20" s="83">
        <f>D18*J20</f>
        <v>55789.58210526316</v>
      </c>
      <c r="E20" s="83">
        <f>E18*J20</f>
        <v>55370.16789473685</v>
      </c>
      <c r="F20" s="83">
        <f>D20</f>
        <v>55789.58210526316</v>
      </c>
      <c r="G20" s="84">
        <f>D20-E20</f>
        <v>419.41421052630903</v>
      </c>
      <c r="H20" s="78">
        <f>C20</f>
        <v>1.69</v>
      </c>
      <c r="I20" s="78"/>
      <c r="J20" s="59">
        <f>H20/H18</f>
        <v>0.17105263157894737</v>
      </c>
    </row>
    <row r="21" spans="1:10" s="59" customFormat="1" ht="15">
      <c r="A21" s="138" t="s">
        <v>20</v>
      </c>
      <c r="B21" s="34" t="s">
        <v>21</v>
      </c>
      <c r="C21" s="99">
        <v>1.69</v>
      </c>
      <c r="D21" s="83">
        <f>D18*J21</f>
        <v>55789.58210526316</v>
      </c>
      <c r="E21" s="83">
        <f>E18*J21</f>
        <v>55370.16789473685</v>
      </c>
      <c r="F21" s="83">
        <f>D21</f>
        <v>55789.58210526316</v>
      </c>
      <c r="G21" s="84">
        <f>D21-E21</f>
        <v>419.41421052630903</v>
      </c>
      <c r="H21" s="78">
        <f>C21</f>
        <v>1.69</v>
      </c>
      <c r="I21" s="78"/>
      <c r="J21" s="59">
        <f>H21/H18</f>
        <v>0.17105263157894737</v>
      </c>
    </row>
    <row r="22" spans="1:10" s="59" customFormat="1" ht="15">
      <c r="A22" s="138" t="s">
        <v>22</v>
      </c>
      <c r="B22" s="34" t="s">
        <v>23</v>
      </c>
      <c r="C22" s="99">
        <v>3.04</v>
      </c>
      <c r="D22" s="83">
        <f>D18*J22</f>
        <v>100355.22461538462</v>
      </c>
      <c r="E22" s="83">
        <f>E18*J22</f>
        <v>99600.7753846154</v>
      </c>
      <c r="F22" s="83">
        <f>D22</f>
        <v>100355.22461538462</v>
      </c>
      <c r="G22" s="84">
        <f>D22-E22</f>
        <v>754.4492307692271</v>
      </c>
      <c r="H22" s="78">
        <f>C22</f>
        <v>3.04</v>
      </c>
      <c r="I22" s="78"/>
      <c r="J22" s="59">
        <f>H22/H18</f>
        <v>0.3076923076923077</v>
      </c>
    </row>
    <row r="23" spans="1:9" s="88" customFormat="1" ht="14.25">
      <c r="A23" s="140" t="s">
        <v>25</v>
      </c>
      <c r="B23" s="86" t="s">
        <v>462</v>
      </c>
      <c r="C23" s="97">
        <v>130</v>
      </c>
      <c r="D23" s="87">
        <v>48359.79</v>
      </c>
      <c r="E23" s="87">
        <v>44698.82</v>
      </c>
      <c r="F23" s="87">
        <v>0</v>
      </c>
      <c r="G23" s="77">
        <f aca="true" t="shared" si="0" ref="G23:G32">D23-E23</f>
        <v>3660.970000000001</v>
      </c>
      <c r="H23" s="88">
        <f>53*130</f>
        <v>6890</v>
      </c>
      <c r="I23" s="368">
        <f>D23/H23</f>
        <v>7.018837445573295</v>
      </c>
    </row>
    <row r="24" spans="1:7" s="88" customFormat="1" ht="14.25">
      <c r="A24" s="140" t="s">
        <v>27</v>
      </c>
      <c r="B24" s="86" t="s">
        <v>28</v>
      </c>
      <c r="C24" s="97">
        <v>0</v>
      </c>
      <c r="D24" s="87">
        <v>0</v>
      </c>
      <c r="E24" s="87">
        <v>0</v>
      </c>
      <c r="F24" s="87">
        <f>D24</f>
        <v>0</v>
      </c>
      <c r="G24" s="77">
        <f t="shared" si="0"/>
        <v>0</v>
      </c>
    </row>
    <row r="25" spans="1:7" s="88" customFormat="1" ht="14.25">
      <c r="A25" s="140" t="s">
        <v>29</v>
      </c>
      <c r="B25" s="86" t="s">
        <v>161</v>
      </c>
      <c r="C25" s="141" t="s">
        <v>296</v>
      </c>
      <c r="D25" s="87">
        <v>0</v>
      </c>
      <c r="E25" s="87">
        <v>0</v>
      </c>
      <c r="F25" s="87">
        <f>D25</f>
        <v>0</v>
      </c>
      <c r="G25" s="77">
        <f t="shared" si="0"/>
        <v>0</v>
      </c>
    </row>
    <row r="26" spans="1:7" s="88" customFormat="1" ht="14.25">
      <c r="A26" s="140" t="s">
        <v>31</v>
      </c>
      <c r="B26" s="86" t="s">
        <v>116</v>
      </c>
      <c r="C26" s="97">
        <v>4.5</v>
      </c>
      <c r="D26" s="87">
        <v>135918.04</v>
      </c>
      <c r="E26" s="87">
        <v>131273.46</v>
      </c>
      <c r="F26" s="87">
        <f>F42</f>
        <v>106192.7346</v>
      </c>
      <c r="G26" s="77">
        <f t="shared" si="0"/>
        <v>4644.580000000016</v>
      </c>
    </row>
    <row r="27" spans="1:7" s="98" customFormat="1" ht="14.25">
      <c r="A27" s="134" t="s">
        <v>33</v>
      </c>
      <c r="B27" s="41" t="s">
        <v>34</v>
      </c>
      <c r="C27" s="46">
        <v>0</v>
      </c>
      <c r="D27" s="77">
        <v>0</v>
      </c>
      <c r="E27" s="77">
        <v>187.39</v>
      </c>
      <c r="F27" s="87">
        <v>0</v>
      </c>
      <c r="G27" s="77">
        <f t="shared" si="0"/>
        <v>-187.39</v>
      </c>
    </row>
    <row r="28" spans="1:7" s="98" customFormat="1" ht="14.25">
      <c r="A28" s="134" t="s">
        <v>35</v>
      </c>
      <c r="B28" s="41" t="s">
        <v>36</v>
      </c>
      <c r="C28" s="97"/>
      <c r="D28" s="77">
        <f>SUM(D29:D32)</f>
        <v>1108514.04</v>
      </c>
      <c r="E28" s="77">
        <f>SUM(E29:E32)</f>
        <v>1070699.71</v>
      </c>
      <c r="F28" s="77">
        <f>SUM(F29:F32)</f>
        <v>1108514.04</v>
      </c>
      <c r="G28" s="77">
        <f t="shared" si="0"/>
        <v>37814.330000000075</v>
      </c>
    </row>
    <row r="29" spans="1:7" ht="15">
      <c r="A29" s="139" t="s">
        <v>37</v>
      </c>
      <c r="B29" s="34" t="s">
        <v>171</v>
      </c>
      <c r="C29" s="285">
        <v>6</v>
      </c>
      <c r="D29" s="84">
        <v>66165.02</v>
      </c>
      <c r="E29" s="84">
        <v>60368.36</v>
      </c>
      <c r="F29" s="84">
        <f>D29</f>
        <v>66165.02</v>
      </c>
      <c r="G29" s="84">
        <f t="shared" si="0"/>
        <v>5796.6600000000035</v>
      </c>
    </row>
    <row r="30" spans="1:7" ht="15">
      <c r="A30" s="139" t="s">
        <v>39</v>
      </c>
      <c r="B30" s="34" t="s">
        <v>137</v>
      </c>
      <c r="C30" s="285">
        <v>57.08</v>
      </c>
      <c r="D30" s="84">
        <v>291289.12</v>
      </c>
      <c r="E30" s="84">
        <v>267847.89</v>
      </c>
      <c r="F30" s="84">
        <f>D30</f>
        <v>291289.12</v>
      </c>
      <c r="G30" s="84">
        <f t="shared" si="0"/>
        <v>23441.22999999998</v>
      </c>
    </row>
    <row r="31" spans="1:7" ht="15">
      <c r="A31" s="139" t="s">
        <v>42</v>
      </c>
      <c r="B31" s="34" t="s">
        <v>340</v>
      </c>
      <c r="C31" s="286">
        <v>0</v>
      </c>
      <c r="D31" s="84">
        <v>0</v>
      </c>
      <c r="E31" s="84">
        <v>0</v>
      </c>
      <c r="F31" s="84">
        <f>D31</f>
        <v>0</v>
      </c>
      <c r="G31" s="84">
        <f t="shared" si="0"/>
        <v>0</v>
      </c>
    </row>
    <row r="32" spans="1:7" ht="15">
      <c r="A32" s="139" t="s">
        <v>41</v>
      </c>
      <c r="B32" s="34" t="s">
        <v>43</v>
      </c>
      <c r="C32" s="285">
        <v>2638.8</v>
      </c>
      <c r="D32" s="84">
        <v>751059.9</v>
      </c>
      <c r="E32" s="84">
        <v>742483.46</v>
      </c>
      <c r="F32" s="84">
        <f>D32</f>
        <v>751059.9</v>
      </c>
      <c r="G32" s="84">
        <f t="shared" si="0"/>
        <v>8576.44000000006</v>
      </c>
    </row>
    <row r="33" spans="1:10" s="102" customFormat="1" ht="24" customHeight="1" thickBot="1">
      <c r="A33" s="446" t="s">
        <v>294</v>
      </c>
      <c r="B33" s="447"/>
      <c r="C33" s="447"/>
      <c r="D33" s="448"/>
      <c r="E33" s="448"/>
      <c r="F33" s="448"/>
      <c r="G33" s="101"/>
      <c r="H33" s="101"/>
      <c r="I33" s="101"/>
      <c r="J33" s="101"/>
    </row>
    <row r="34" spans="1:10" s="67" customFormat="1" ht="15.75" thickBot="1">
      <c r="A34" s="455" t="s">
        <v>413</v>
      </c>
      <c r="B34" s="456"/>
      <c r="C34" s="456"/>
      <c r="D34" s="65">
        <v>619475.54</v>
      </c>
      <c r="E34" s="66"/>
      <c r="F34" s="66"/>
      <c r="G34" s="66"/>
      <c r="H34" s="62"/>
      <c r="I34" s="62"/>
      <c r="J34" s="62"/>
    </row>
    <row r="35" spans="1:10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  <c r="J35" s="62"/>
    </row>
    <row r="36" spans="1:10" s="67" customFormat="1" ht="15.75" thickBot="1">
      <c r="A36" s="63" t="s">
        <v>414</v>
      </c>
      <c r="B36" s="64"/>
      <c r="C36" s="64"/>
      <c r="D36" s="69"/>
      <c r="E36" s="70"/>
      <c r="F36" s="70"/>
      <c r="G36" s="144">
        <f>G14+E27-F27</f>
        <v>-15124.129999999997</v>
      </c>
      <c r="H36" s="62"/>
      <c r="I36" s="62"/>
      <c r="J36" s="62"/>
    </row>
    <row r="37" spans="1:10" s="102" customFormat="1" ht="14.25" thickBot="1">
      <c r="A37" s="63" t="s">
        <v>415</v>
      </c>
      <c r="B37" s="64"/>
      <c r="C37" s="64"/>
      <c r="D37" s="69"/>
      <c r="E37" s="70"/>
      <c r="F37" s="70"/>
      <c r="G37" s="144">
        <f>G15+E26-F26</f>
        <v>307021.9835</v>
      </c>
      <c r="H37" s="101"/>
      <c r="I37" s="101"/>
      <c r="J37" s="101"/>
    </row>
    <row r="38" spans="1:10" s="102" customFormat="1" ht="9.75" customHeight="1">
      <c r="A38" s="104"/>
      <c r="B38" s="104"/>
      <c r="C38" s="104"/>
      <c r="D38" s="104"/>
      <c r="E38" s="101"/>
      <c r="F38" s="101"/>
      <c r="G38" s="101"/>
      <c r="H38" s="101"/>
      <c r="I38" s="101"/>
      <c r="J38" s="101"/>
    </row>
    <row r="39" spans="1:10" ht="23.25" customHeight="1">
      <c r="A39" s="444" t="s">
        <v>44</v>
      </c>
      <c r="B39" s="481"/>
      <c r="C39" s="481"/>
      <c r="D39" s="481"/>
      <c r="E39" s="481"/>
      <c r="F39" s="481"/>
      <c r="G39" s="481"/>
      <c r="H39" s="58"/>
      <c r="I39" s="58"/>
      <c r="J39" s="58"/>
    </row>
    <row r="41" spans="1:11" s="74" customFormat="1" ht="28.5">
      <c r="A41" s="105" t="s">
        <v>11</v>
      </c>
      <c r="B41" s="471" t="s">
        <v>45</v>
      </c>
      <c r="C41" s="484"/>
      <c r="D41" s="105" t="s">
        <v>163</v>
      </c>
      <c r="E41" s="105" t="s">
        <v>162</v>
      </c>
      <c r="F41" s="598" t="s">
        <v>46</v>
      </c>
      <c r="G41" s="598"/>
      <c r="H41" s="106"/>
      <c r="I41" s="106"/>
      <c r="J41" s="107"/>
      <c r="K41" s="108"/>
    </row>
    <row r="42" spans="1:11" s="114" customFormat="1" ht="15">
      <c r="A42" s="109" t="s">
        <v>47</v>
      </c>
      <c r="B42" s="473" t="s">
        <v>111</v>
      </c>
      <c r="C42" s="491"/>
      <c r="D42" s="110"/>
      <c r="E42" s="110"/>
      <c r="F42" s="611">
        <f>SUM(F43:G47)</f>
        <v>106192.7346</v>
      </c>
      <c r="G42" s="612"/>
      <c r="H42" s="112"/>
      <c r="I42" s="112"/>
      <c r="J42" s="113"/>
      <c r="K42" s="115"/>
    </row>
    <row r="43" spans="1:11" ht="26.25">
      <c r="A43" s="34" t="s">
        <v>16</v>
      </c>
      <c r="B43" s="462" t="s">
        <v>326</v>
      </c>
      <c r="C43" s="489"/>
      <c r="D43" s="337"/>
      <c r="E43" s="341" t="s">
        <v>221</v>
      </c>
      <c r="F43" s="497">
        <v>6830</v>
      </c>
      <c r="G43" s="497"/>
      <c r="H43" s="40"/>
      <c r="I43" s="40"/>
      <c r="J43" s="40"/>
      <c r="K43" s="119"/>
    </row>
    <row r="44" spans="1:11" ht="15">
      <c r="A44" s="34" t="s">
        <v>18</v>
      </c>
      <c r="B44" s="462" t="s">
        <v>326</v>
      </c>
      <c r="C44" s="489"/>
      <c r="D44" s="118"/>
      <c r="E44" s="121"/>
      <c r="F44" s="497">
        <v>850</v>
      </c>
      <c r="G44" s="497"/>
      <c r="H44" s="40"/>
      <c r="I44" s="40"/>
      <c r="J44" s="40"/>
      <c r="K44" s="119"/>
    </row>
    <row r="45" spans="1:11" ht="15">
      <c r="A45" s="34" t="s">
        <v>20</v>
      </c>
      <c r="B45" s="462" t="s">
        <v>554</v>
      </c>
      <c r="C45" s="489"/>
      <c r="D45" s="118"/>
      <c r="E45" s="121"/>
      <c r="F45" s="497">
        <v>86000</v>
      </c>
      <c r="G45" s="497"/>
      <c r="H45" s="40"/>
      <c r="I45" s="40"/>
      <c r="J45" s="40"/>
      <c r="K45" s="119"/>
    </row>
    <row r="46" spans="1:11" ht="15">
      <c r="A46" s="34" t="s">
        <v>22</v>
      </c>
      <c r="B46" s="462" t="s">
        <v>814</v>
      </c>
      <c r="C46" s="489"/>
      <c r="D46" s="118" t="s">
        <v>391</v>
      </c>
      <c r="E46" s="121">
        <v>4</v>
      </c>
      <c r="F46" s="497">
        <v>11200</v>
      </c>
      <c r="G46" s="497"/>
      <c r="H46" s="40"/>
      <c r="I46" s="40"/>
      <c r="J46" s="40"/>
      <c r="K46" s="119"/>
    </row>
    <row r="47" spans="1:7" s="67" customFormat="1" ht="15">
      <c r="A47" s="34" t="s">
        <v>22</v>
      </c>
      <c r="B47" s="182" t="s">
        <v>188</v>
      </c>
      <c r="C47" s="183"/>
      <c r="D47" s="123"/>
      <c r="E47" s="123"/>
      <c r="F47" s="495">
        <f>E26*1%</f>
        <v>1312.7346</v>
      </c>
      <c r="G47" s="495"/>
    </row>
    <row r="48" s="59" customFormat="1" ht="12.75"/>
    <row r="49" spans="1:7" s="59" customFormat="1" ht="15">
      <c r="A49" s="67" t="s">
        <v>55</v>
      </c>
      <c r="B49" s="67"/>
      <c r="C49" s="125" t="s">
        <v>49</v>
      </c>
      <c r="D49" s="67"/>
      <c r="E49" s="67"/>
      <c r="F49" s="67" t="s">
        <v>90</v>
      </c>
      <c r="G49" s="67"/>
    </row>
    <row r="50" spans="1:7" ht="15">
      <c r="A50" s="67"/>
      <c r="B50" s="67"/>
      <c r="C50" s="125"/>
      <c r="D50" s="67"/>
      <c r="E50" s="67"/>
      <c r="F50" s="126" t="s">
        <v>545</v>
      </c>
      <c r="G50" s="67"/>
    </row>
    <row r="51" spans="1:7" ht="15">
      <c r="A51" s="67" t="s">
        <v>50</v>
      </c>
      <c r="B51" s="67"/>
      <c r="C51" s="125"/>
      <c r="D51" s="67"/>
      <c r="E51" s="67"/>
      <c r="F51" s="67"/>
      <c r="G51" s="67"/>
    </row>
    <row r="52" spans="1:7" ht="15">
      <c r="A52" s="67"/>
      <c r="B52" s="67"/>
      <c r="C52" s="127" t="s">
        <v>51</v>
      </c>
      <c r="D52" s="67"/>
      <c r="E52" s="128"/>
      <c r="F52" s="128"/>
      <c r="G52" s="128"/>
    </row>
  </sheetData>
  <sheetProtection/>
  <mergeCells count="23">
    <mergeCell ref="F42:G42"/>
    <mergeCell ref="B46:C46"/>
    <mergeCell ref="F46:G46"/>
    <mergeCell ref="F45:G45"/>
    <mergeCell ref="A11:J11"/>
    <mergeCell ref="B45:C45"/>
    <mergeCell ref="F43:G43"/>
    <mergeCell ref="A12:J12"/>
    <mergeCell ref="F47:G47"/>
    <mergeCell ref="A34:C34"/>
    <mergeCell ref="B41:C41"/>
    <mergeCell ref="F41:G41"/>
    <mergeCell ref="B42:C42"/>
    <mergeCell ref="A33:F33"/>
    <mergeCell ref="A39:G39"/>
    <mergeCell ref="F44:G44"/>
    <mergeCell ref="B43:C43"/>
    <mergeCell ref="B44:C44"/>
    <mergeCell ref="A1:J1"/>
    <mergeCell ref="A2:J2"/>
    <mergeCell ref="A3:J3"/>
    <mergeCell ref="A5:J5"/>
    <mergeCell ref="A10:J10"/>
  </mergeCells>
  <printOptions/>
  <pageMargins left="0.7" right="0.7" top="0.75" bottom="0.75" header="0.3" footer="0.3"/>
  <pageSetup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7030A0"/>
  </sheetPr>
  <dimension ref="A1:L48"/>
  <sheetViews>
    <sheetView zoomScalePageLayoutView="0" workbookViewId="0" topLeftCell="A31">
      <selection activeCell="B43" sqref="B43:C43"/>
    </sheetView>
  </sheetViews>
  <sheetFormatPr defaultColWidth="9.140625" defaultRowHeight="15" outlineLevelCol="1"/>
  <cols>
    <col min="1" max="1" width="4.8515625" style="57" customWidth="1"/>
    <col min="2" max="2" width="50.28125" style="57" customWidth="1"/>
    <col min="3" max="3" width="15.8515625" style="57" customWidth="1"/>
    <col min="4" max="4" width="14.8515625" style="57" customWidth="1"/>
    <col min="5" max="5" width="12.57421875" style="57" customWidth="1"/>
    <col min="6" max="6" width="12.421875" style="57" customWidth="1"/>
    <col min="7" max="7" width="14.57421875" style="57" customWidth="1"/>
    <col min="8" max="9" width="11.57421875" style="57" hidden="1" customWidth="1" outlineLevel="1"/>
    <col min="10" max="10" width="9.140625" style="57" customWidth="1" collapsed="1"/>
    <col min="11" max="11" width="10.00390625" style="57" bestFit="1" customWidth="1"/>
    <col min="12" max="12" width="15.8515625" style="57" customWidth="1"/>
    <col min="13" max="16384" width="9.140625" style="57" customWidth="1"/>
  </cols>
  <sheetData>
    <row r="1" spans="1:9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</row>
    <row r="2" spans="1:9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</row>
    <row r="3" spans="1:9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</row>
    <row r="4" spans="1:9" ht="9" customHeight="1">
      <c r="A4" s="56"/>
      <c r="B4" s="56"/>
      <c r="C4" s="56"/>
      <c r="D4" s="56"/>
      <c r="E4" s="56"/>
      <c r="F4" s="56"/>
      <c r="G4" s="56"/>
      <c r="H4" s="56"/>
      <c r="I4" s="56"/>
    </row>
    <row r="5" spans="1:9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</row>
    <row r="7" spans="1:8" s="59" customFormat="1" ht="16.5" customHeight="1">
      <c r="A7" s="59" t="s">
        <v>2</v>
      </c>
      <c r="F7" s="60" t="s">
        <v>172</v>
      </c>
      <c r="H7" s="60"/>
    </row>
    <row r="8" spans="1:8" s="59" customFormat="1" ht="12.75">
      <c r="A8" s="59" t="s">
        <v>3</v>
      </c>
      <c r="F8" s="301" t="s">
        <v>253</v>
      </c>
      <c r="H8" s="60"/>
    </row>
    <row r="9" spans="1:9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</row>
    <row r="10" spans="1:9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</row>
    <row r="11" spans="1:9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336</v>
      </c>
      <c r="B13" s="64"/>
      <c r="C13" s="64"/>
      <c r="D13" s="69"/>
      <c r="E13" s="70"/>
      <c r="F13" s="70"/>
      <c r="G13" s="65">
        <f>'[2]Дубрава 1'!$G$35</f>
        <v>-58651.75859999997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2" s="79" customFormat="1" ht="14.25">
      <c r="A16" s="75" t="s">
        <v>14</v>
      </c>
      <c r="B16" s="41" t="s">
        <v>15</v>
      </c>
      <c r="C16" s="135">
        <f>C17+C18+C19+C20</f>
        <v>9.879999999999999</v>
      </c>
      <c r="D16" s="76">
        <v>105014.24</v>
      </c>
      <c r="E16" s="76">
        <v>109435.38</v>
      </c>
      <c r="F16" s="76">
        <f>D16</f>
        <v>105014.24</v>
      </c>
      <c r="G16" s="77">
        <f>D16-E16</f>
        <v>-4421.139999999999</v>
      </c>
      <c r="H16" s="78">
        <f>C16</f>
        <v>9.879999999999999</v>
      </c>
      <c r="K16" s="136"/>
      <c r="L16" s="137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36776.241943319845</v>
      </c>
      <c r="E17" s="83">
        <f>E16*I17</f>
        <v>38324.535910931176</v>
      </c>
      <c r="F17" s="83">
        <f>D17</f>
        <v>36776.241943319845</v>
      </c>
      <c r="G17" s="84">
        <f>D17-E17</f>
        <v>-1548.293967611331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17962.96210526316</v>
      </c>
      <c r="E18" s="83">
        <f>E16*I18</f>
        <v>18719.209736842105</v>
      </c>
      <c r="F18" s="83">
        <f>D18</f>
        <v>17962.96210526316</v>
      </c>
      <c r="G18" s="84">
        <f>D18-E18</f>
        <v>-756.2476315789463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17962.96210526316</v>
      </c>
      <c r="E19" s="83">
        <f>E16*I19</f>
        <v>18719.209736842105</v>
      </c>
      <c r="F19" s="83">
        <f>D19</f>
        <v>17962.96210526316</v>
      </c>
      <c r="G19" s="84">
        <f>D19-E19</f>
        <v>-756.2476315789463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32312.07384615385</v>
      </c>
      <c r="E20" s="83">
        <f>E16*I20</f>
        <v>33672.42461538462</v>
      </c>
      <c r="F20" s="83">
        <f>D20</f>
        <v>32312.07384615385</v>
      </c>
      <c r="G20" s="84">
        <f>D20-E20</f>
        <v>-1360.3507692307685</v>
      </c>
      <c r="H20" s="78">
        <f>C20</f>
        <v>3.04</v>
      </c>
      <c r="I20" s="59">
        <f>H20/H16</f>
        <v>0.3076923076923077</v>
      </c>
    </row>
    <row r="21" spans="1:7" s="88" customFormat="1" ht="14.25">
      <c r="A21" s="86" t="s">
        <v>25</v>
      </c>
      <c r="B21" s="41" t="s">
        <v>26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1">D21-E21</f>
        <v>0</v>
      </c>
    </row>
    <row r="22" spans="1:7" s="88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</row>
    <row r="23" spans="1:7" s="88" customFormat="1" ht="14.25">
      <c r="A23" s="86" t="s">
        <v>29</v>
      </c>
      <c r="B23" s="86" t="s">
        <v>30</v>
      </c>
      <c r="C23" s="141">
        <v>0</v>
      </c>
      <c r="D23" s="87">
        <v>0</v>
      </c>
      <c r="E23" s="87">
        <v>0</v>
      </c>
      <c r="F23" s="87">
        <v>0</v>
      </c>
      <c r="G23" s="77">
        <f t="shared" si="0"/>
        <v>0</v>
      </c>
    </row>
    <row r="24" spans="1:7" s="88" customFormat="1" ht="14.25">
      <c r="A24" s="86" t="s">
        <v>31</v>
      </c>
      <c r="B24" s="86" t="s">
        <v>116</v>
      </c>
      <c r="C24" s="87">
        <v>1.86</v>
      </c>
      <c r="D24" s="87">
        <v>16394.16</v>
      </c>
      <c r="E24" s="87">
        <v>17123.52</v>
      </c>
      <c r="F24" s="87">
        <f>F40</f>
        <v>171.23520000000002</v>
      </c>
      <c r="G24" s="77">
        <f t="shared" si="0"/>
        <v>-729.3600000000006</v>
      </c>
    </row>
    <row r="25" spans="1:7" s="98" customFormat="1" ht="14.25">
      <c r="A25" s="41" t="s">
        <v>33</v>
      </c>
      <c r="B25" s="41" t="s">
        <v>161</v>
      </c>
      <c r="C25" s="77" t="s">
        <v>297</v>
      </c>
      <c r="D25" s="77">
        <v>0</v>
      </c>
      <c r="E25" s="77">
        <v>0</v>
      </c>
      <c r="F25" s="87">
        <v>0</v>
      </c>
      <c r="G25" s="77">
        <f t="shared" si="0"/>
        <v>0</v>
      </c>
    </row>
    <row r="26" spans="1:7" s="98" customFormat="1" ht="14.25">
      <c r="A26" s="41" t="s">
        <v>35</v>
      </c>
      <c r="B26" s="41" t="s">
        <v>270</v>
      </c>
      <c r="C26" s="77" t="s">
        <v>798</v>
      </c>
      <c r="D26" s="77">
        <v>3120</v>
      </c>
      <c r="E26" s="77">
        <v>3119.82</v>
      </c>
      <c r="F26" s="87">
        <f>D26</f>
        <v>3120</v>
      </c>
      <c r="G26" s="77">
        <f t="shared" si="0"/>
        <v>0.1799999999998363</v>
      </c>
    </row>
    <row r="27" spans="1:7" s="98" customFormat="1" ht="14.25">
      <c r="A27" s="41" t="s">
        <v>35</v>
      </c>
      <c r="B27" s="41" t="s">
        <v>36</v>
      </c>
      <c r="C27" s="77"/>
      <c r="D27" s="77">
        <f>SUM(D28:D31)</f>
        <v>405512.97</v>
      </c>
      <c r="E27" s="77">
        <f>SUM(E28:E31)</f>
        <v>413938.11</v>
      </c>
      <c r="F27" s="77">
        <f>SUM(F28:F31)</f>
        <v>405512.97</v>
      </c>
      <c r="G27" s="77">
        <f t="shared" si="0"/>
        <v>-8425.140000000014</v>
      </c>
    </row>
    <row r="28" spans="1:7" ht="15">
      <c r="A28" s="34" t="s">
        <v>37</v>
      </c>
      <c r="B28" s="34" t="s">
        <v>165</v>
      </c>
      <c r="C28" s="285">
        <v>6</v>
      </c>
      <c r="D28" s="84">
        <v>4718.86</v>
      </c>
      <c r="E28" s="84">
        <v>4839.12</v>
      </c>
      <c r="F28" s="84">
        <f>D28</f>
        <v>4718.86</v>
      </c>
      <c r="G28" s="84">
        <f t="shared" si="0"/>
        <v>-120.26000000000022</v>
      </c>
    </row>
    <row r="29" spans="1:7" ht="15">
      <c r="A29" s="34" t="s">
        <v>39</v>
      </c>
      <c r="B29" s="34" t="s">
        <v>137</v>
      </c>
      <c r="C29" s="285">
        <v>57.08</v>
      </c>
      <c r="D29" s="84">
        <v>103314.24</v>
      </c>
      <c r="E29" s="84">
        <v>102109.01</v>
      </c>
      <c r="F29" s="84">
        <f>D29</f>
        <v>103314.24</v>
      </c>
      <c r="G29" s="84">
        <f t="shared" si="0"/>
        <v>1205.2300000000105</v>
      </c>
    </row>
    <row r="30" spans="1:7" ht="15">
      <c r="A30" s="34" t="s">
        <v>42</v>
      </c>
      <c r="B30" s="34" t="s">
        <v>340</v>
      </c>
      <c r="C30" s="286">
        <v>0</v>
      </c>
      <c r="D30" s="84">
        <v>0</v>
      </c>
      <c r="E30" s="84">
        <v>0</v>
      </c>
      <c r="F30" s="84">
        <f>D30</f>
        <v>0</v>
      </c>
      <c r="G30" s="84">
        <f t="shared" si="0"/>
        <v>0</v>
      </c>
    </row>
    <row r="31" spans="1:7" ht="15">
      <c r="A31" s="34" t="s">
        <v>41</v>
      </c>
      <c r="B31" s="34" t="s">
        <v>43</v>
      </c>
      <c r="C31" s="285">
        <v>2638.8</v>
      </c>
      <c r="D31" s="84">
        <v>297479.87</v>
      </c>
      <c r="E31" s="84">
        <v>306989.98</v>
      </c>
      <c r="F31" s="84">
        <f>D31</f>
        <v>297479.87</v>
      </c>
      <c r="G31" s="84">
        <f t="shared" si="0"/>
        <v>-9510.109999999986</v>
      </c>
    </row>
    <row r="32" spans="1:9" s="102" customFormat="1" ht="14.25" customHeight="1" thickBot="1">
      <c r="A32" s="446" t="s">
        <v>294</v>
      </c>
      <c r="B32" s="447"/>
      <c r="C32" s="447"/>
      <c r="D32" s="448"/>
      <c r="E32" s="448"/>
      <c r="F32" s="448"/>
      <c r="G32" s="101"/>
      <c r="H32" s="101"/>
      <c r="I32" s="101"/>
    </row>
    <row r="33" spans="1:9" s="67" customFormat="1" ht="15.75" thickBot="1">
      <c r="A33" s="455" t="s">
        <v>413</v>
      </c>
      <c r="B33" s="456"/>
      <c r="C33" s="456"/>
      <c r="D33" s="65">
        <v>106455.63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415</v>
      </c>
      <c r="B35" s="64"/>
      <c r="C35" s="64"/>
      <c r="D35" s="69"/>
      <c r="E35" s="70"/>
      <c r="F35" s="70"/>
      <c r="G35" s="144">
        <f>G13+E24-F24</f>
        <v>-41699.47379999997</v>
      </c>
      <c r="H35" s="62"/>
      <c r="I35" s="62"/>
    </row>
    <row r="36" spans="1:9" s="102" customFormat="1" ht="9.75" customHeight="1">
      <c r="A36" s="104"/>
      <c r="B36" s="104"/>
      <c r="C36" s="104"/>
      <c r="D36" s="104"/>
      <c r="E36" s="101"/>
      <c r="F36" s="101"/>
      <c r="G36" s="101"/>
      <c r="H36" s="101"/>
      <c r="I36" s="101"/>
    </row>
    <row r="37" spans="1:9" ht="23.25" customHeight="1">
      <c r="A37" s="444" t="s">
        <v>44</v>
      </c>
      <c r="B37" s="481"/>
      <c r="C37" s="481"/>
      <c r="D37" s="481"/>
      <c r="E37" s="481"/>
      <c r="F37" s="481"/>
      <c r="G37" s="481"/>
      <c r="H37" s="58"/>
      <c r="I37" s="58"/>
    </row>
    <row r="39" spans="1:10" s="74" customFormat="1" ht="37.5" customHeight="1">
      <c r="A39" s="105" t="s">
        <v>11</v>
      </c>
      <c r="B39" s="471" t="s">
        <v>45</v>
      </c>
      <c r="C39" s="484"/>
      <c r="D39" s="105" t="s">
        <v>163</v>
      </c>
      <c r="E39" s="105" t="s">
        <v>162</v>
      </c>
      <c r="F39" s="598" t="s">
        <v>46</v>
      </c>
      <c r="G39" s="598"/>
      <c r="H39" s="106"/>
      <c r="I39" s="107"/>
      <c r="J39" s="108"/>
    </row>
    <row r="40" spans="1:10" s="114" customFormat="1" ht="15">
      <c r="A40" s="109" t="s">
        <v>47</v>
      </c>
      <c r="B40" s="473" t="s">
        <v>111</v>
      </c>
      <c r="C40" s="491"/>
      <c r="D40" s="110"/>
      <c r="E40" s="110"/>
      <c r="F40" s="611">
        <f>SUM(F41:F43)</f>
        <v>171.23520000000002</v>
      </c>
      <c r="G40" s="612"/>
      <c r="H40" s="112"/>
      <c r="I40" s="113"/>
      <c r="J40" s="115"/>
    </row>
    <row r="41" spans="1:7" s="59" customFormat="1" ht="15">
      <c r="A41" s="34" t="s">
        <v>16</v>
      </c>
      <c r="B41" s="511" t="s">
        <v>188</v>
      </c>
      <c r="C41" s="512"/>
      <c r="D41" s="190"/>
      <c r="E41" s="190"/>
      <c r="F41" s="502">
        <f>E24*1%</f>
        <v>171.23520000000002</v>
      </c>
      <c r="G41" s="502"/>
    </row>
    <row r="42" spans="1:7" s="59" customFormat="1" ht="15">
      <c r="A42" s="34" t="s">
        <v>18</v>
      </c>
      <c r="B42" s="493"/>
      <c r="C42" s="494"/>
      <c r="D42" s="346"/>
      <c r="E42" s="346"/>
      <c r="F42" s="501"/>
      <c r="G42" s="501"/>
    </row>
    <row r="43" spans="1:7" s="59" customFormat="1" ht="15">
      <c r="A43" s="34" t="s">
        <v>20</v>
      </c>
      <c r="B43" s="511"/>
      <c r="C43" s="512"/>
      <c r="D43" s="190"/>
      <c r="E43" s="190"/>
      <c r="F43" s="502"/>
      <c r="G43" s="502"/>
    </row>
    <row r="44" s="59" customFormat="1" ht="12.75"/>
    <row r="45" spans="1:6" s="67" customFormat="1" ht="15">
      <c r="A45" s="67" t="s">
        <v>55</v>
      </c>
      <c r="C45" s="125" t="s">
        <v>49</v>
      </c>
      <c r="F45" s="67" t="s">
        <v>90</v>
      </c>
    </row>
    <row r="46" spans="1:7" s="59" customFormat="1" ht="15">
      <c r="A46" s="67"/>
      <c r="B46" s="67"/>
      <c r="C46" s="125"/>
      <c r="D46" s="67"/>
      <c r="E46" s="67"/>
      <c r="F46" s="126" t="s">
        <v>545</v>
      </c>
      <c r="G46" s="67"/>
    </row>
    <row r="47" spans="1:9" s="59" customFormat="1" ht="15">
      <c r="A47" s="67" t="s">
        <v>50</v>
      </c>
      <c r="B47" s="67"/>
      <c r="C47" s="125"/>
      <c r="D47" s="67"/>
      <c r="E47" s="67"/>
      <c r="F47" s="67"/>
      <c r="G47" s="67"/>
      <c r="H47" s="156"/>
      <c r="I47" s="156"/>
    </row>
    <row r="48" spans="1:7" s="59" customFormat="1" ht="15">
      <c r="A48" s="67"/>
      <c r="B48" s="67"/>
      <c r="C48" s="127" t="s">
        <v>51</v>
      </c>
      <c r="D48" s="67"/>
      <c r="E48" s="128"/>
      <c r="F48" s="128"/>
      <c r="G48" s="128"/>
    </row>
    <row r="49" s="59" customFormat="1" ht="12.75"/>
  </sheetData>
  <sheetProtection/>
  <mergeCells count="20">
    <mergeCell ref="A10:I10"/>
    <mergeCell ref="F43:G43"/>
    <mergeCell ref="B42:C42"/>
    <mergeCell ref="B43:C43"/>
    <mergeCell ref="B41:C41"/>
    <mergeCell ref="B39:C39"/>
    <mergeCell ref="B40:C40"/>
    <mergeCell ref="F40:G40"/>
    <mergeCell ref="F41:G41"/>
    <mergeCell ref="F42:G42"/>
    <mergeCell ref="A11:I11"/>
    <mergeCell ref="A33:C33"/>
    <mergeCell ref="A37:G37"/>
    <mergeCell ref="A32:F32"/>
    <mergeCell ref="F39:G39"/>
    <mergeCell ref="A1:I1"/>
    <mergeCell ref="A2:I2"/>
    <mergeCell ref="A3:I3"/>
    <mergeCell ref="A5:I5"/>
    <mergeCell ref="A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FF00"/>
  </sheetPr>
  <dimension ref="A1:P48"/>
  <sheetViews>
    <sheetView zoomScalePageLayoutView="0" workbookViewId="0" topLeftCell="A32">
      <selection activeCell="G35" sqref="G35"/>
    </sheetView>
  </sheetViews>
  <sheetFormatPr defaultColWidth="9.140625" defaultRowHeight="15" outlineLevelCol="1"/>
  <cols>
    <col min="1" max="1" width="4.8515625" style="57" customWidth="1"/>
    <col min="2" max="2" width="48.57421875" style="57" customWidth="1"/>
    <col min="3" max="3" width="15.8515625" style="57" customWidth="1"/>
    <col min="4" max="4" width="14.8515625" style="57" customWidth="1"/>
    <col min="5" max="5" width="12.57421875" style="57" customWidth="1"/>
    <col min="6" max="6" width="12.4218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12" s="59" customFormat="1" ht="16.5" customHeight="1">
      <c r="A7" s="59" t="s">
        <v>2</v>
      </c>
      <c r="F7" s="60" t="s">
        <v>173</v>
      </c>
      <c r="H7" s="60"/>
      <c r="L7" s="251"/>
    </row>
    <row r="8" spans="1:12" s="59" customFormat="1" ht="12.75">
      <c r="A8" s="59" t="s">
        <v>3</v>
      </c>
      <c r="F8" s="301" t="s">
        <v>453</v>
      </c>
      <c r="H8" s="60"/>
      <c r="J8" s="61">
        <v>78.7</v>
      </c>
      <c r="K8" s="59">
        <f>799.9-6.8-78.7</f>
        <v>714.4</v>
      </c>
      <c r="L8" s="59">
        <f>J8+K8</f>
        <v>793.1</v>
      </c>
    </row>
    <row r="9" spans="2:10" s="59" customFormat="1" ht="15">
      <c r="B9" s="67" t="s">
        <v>507</v>
      </c>
      <c r="F9" s="301" t="s">
        <v>528</v>
      </c>
      <c r="H9" s="60"/>
      <c r="J9" s="251"/>
    </row>
    <row r="10" spans="1:11" s="59" customFormat="1" ht="12.7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11" s="59" customFormat="1" ht="12.7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336</v>
      </c>
      <c r="B14" s="64"/>
      <c r="C14" s="64"/>
      <c r="D14" s="69"/>
      <c r="E14" s="70"/>
      <c r="F14" s="70"/>
      <c r="G14" s="65">
        <f>'[2]Дубрава 2'!$G$34</f>
        <v>19416.506999999994</v>
      </c>
      <c r="H14" s="62"/>
      <c r="I14" s="62"/>
    </row>
    <row r="15" s="59" customFormat="1" ht="6.75" customHeight="1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</row>
    <row r="17" spans="1:16" s="79" customFormat="1" ht="14.25">
      <c r="A17" s="75" t="s">
        <v>14</v>
      </c>
      <c r="B17" s="41" t="s">
        <v>15</v>
      </c>
      <c r="C17" s="135">
        <f>C18+C19+C20+C21</f>
        <v>9.879999999999999</v>
      </c>
      <c r="D17" s="76">
        <v>100518.92</v>
      </c>
      <c r="E17" s="76">
        <v>89673.58</v>
      </c>
      <c r="F17" s="76">
        <f>D17</f>
        <v>100518.92</v>
      </c>
      <c r="G17" s="77">
        <f>D17-E17</f>
        <v>10845.339999999997</v>
      </c>
      <c r="H17" s="78">
        <f>C17</f>
        <v>9.879999999999999</v>
      </c>
      <c r="O17" s="136"/>
      <c r="P17" s="137"/>
    </row>
    <row r="18" spans="1:9" s="59" customFormat="1" ht="15">
      <c r="A18" s="81" t="s">
        <v>16</v>
      </c>
      <c r="B18" s="34" t="s">
        <v>17</v>
      </c>
      <c r="C18" s="99">
        <v>3.46</v>
      </c>
      <c r="D18" s="83">
        <f>D17*I18</f>
        <v>35201.96995951417</v>
      </c>
      <c r="E18" s="83">
        <f>E17*I18</f>
        <v>31403.905546558708</v>
      </c>
      <c r="F18" s="83">
        <f>D18</f>
        <v>35201.96995951417</v>
      </c>
      <c r="G18" s="84">
        <f>D18-E18</f>
        <v>3798.064412955464</v>
      </c>
      <c r="H18" s="78">
        <f>C18</f>
        <v>3.46</v>
      </c>
      <c r="I18" s="59">
        <f>H18/H17</f>
        <v>0.3502024291497976</v>
      </c>
    </row>
    <row r="19" spans="1:9" s="59" customFormat="1" ht="15">
      <c r="A19" s="81" t="s">
        <v>18</v>
      </c>
      <c r="B19" s="34" t="s">
        <v>19</v>
      </c>
      <c r="C19" s="99">
        <v>1.69</v>
      </c>
      <c r="D19" s="83">
        <f>D17*I19</f>
        <v>17194.025789473686</v>
      </c>
      <c r="E19" s="83">
        <f>E17*I19</f>
        <v>15338.901842105264</v>
      </c>
      <c r="F19" s="83">
        <f>D19</f>
        <v>17194.025789473686</v>
      </c>
      <c r="G19" s="84">
        <f>D19-E19</f>
        <v>1855.1239473684218</v>
      </c>
      <c r="H19" s="78">
        <f>C19</f>
        <v>1.69</v>
      </c>
      <c r="I19" s="59">
        <f>H19/H17</f>
        <v>0.17105263157894737</v>
      </c>
    </row>
    <row r="20" spans="1:9" s="59" customFormat="1" ht="15">
      <c r="A20" s="81" t="s">
        <v>20</v>
      </c>
      <c r="B20" s="34" t="s">
        <v>21</v>
      </c>
      <c r="C20" s="99">
        <v>1.69</v>
      </c>
      <c r="D20" s="83">
        <f>D17*I20</f>
        <v>17194.025789473686</v>
      </c>
      <c r="E20" s="83">
        <f>E17*I20</f>
        <v>15338.901842105264</v>
      </c>
      <c r="F20" s="83">
        <f>D20</f>
        <v>17194.025789473686</v>
      </c>
      <c r="G20" s="84">
        <f>D20-E20</f>
        <v>1855.1239473684218</v>
      </c>
      <c r="H20" s="78">
        <f>C20</f>
        <v>1.69</v>
      </c>
      <c r="I20" s="59">
        <f>H20/H17</f>
        <v>0.17105263157894737</v>
      </c>
    </row>
    <row r="21" spans="1:9" s="59" customFormat="1" ht="15">
      <c r="A21" s="81" t="s">
        <v>22</v>
      </c>
      <c r="B21" s="34" t="s">
        <v>23</v>
      </c>
      <c r="C21" s="99">
        <v>3.04</v>
      </c>
      <c r="D21" s="83">
        <f>D17*I21</f>
        <v>30928.89846153846</v>
      </c>
      <c r="E21" s="83">
        <f>E17*I21</f>
        <v>27591.870769230773</v>
      </c>
      <c r="F21" s="83">
        <f>D21</f>
        <v>30928.89846153846</v>
      </c>
      <c r="G21" s="84">
        <f>D21-E21</f>
        <v>3337.027692307689</v>
      </c>
      <c r="H21" s="78">
        <f>C21</f>
        <v>3.04</v>
      </c>
      <c r="I21" s="59">
        <f>H21/H17</f>
        <v>0.3076923076923077</v>
      </c>
    </row>
    <row r="22" spans="1:7" s="88" customFormat="1" ht="14.25">
      <c r="A22" s="86" t="s">
        <v>25</v>
      </c>
      <c r="B22" s="86" t="s">
        <v>26</v>
      </c>
      <c r="C22" s="97">
        <v>0</v>
      </c>
      <c r="D22" s="87">
        <v>0</v>
      </c>
      <c r="E22" s="87">
        <v>0</v>
      </c>
      <c r="F22" s="87">
        <v>0</v>
      </c>
      <c r="G22" s="77">
        <f aca="true" t="shared" si="0" ref="G22:G31">D22-E22</f>
        <v>0</v>
      </c>
    </row>
    <row r="23" spans="1:7" s="88" customFormat="1" ht="14.25">
      <c r="A23" s="86" t="s">
        <v>27</v>
      </c>
      <c r="B23" s="86" t="s">
        <v>28</v>
      </c>
      <c r="C23" s="97">
        <v>0</v>
      </c>
      <c r="D23" s="87">
        <v>0</v>
      </c>
      <c r="E23" s="87">
        <v>0</v>
      </c>
      <c r="F23" s="87">
        <f>D23</f>
        <v>0</v>
      </c>
      <c r="G23" s="77">
        <f t="shared" si="0"/>
        <v>0</v>
      </c>
    </row>
    <row r="24" spans="1:7" s="88" customFormat="1" ht="14.25">
      <c r="A24" s="86" t="s">
        <v>29</v>
      </c>
      <c r="B24" s="86" t="s">
        <v>267</v>
      </c>
      <c r="C24" s="141" t="s">
        <v>798</v>
      </c>
      <c r="D24" s="87">
        <v>3119.96</v>
      </c>
      <c r="E24" s="87">
        <v>5457.62</v>
      </c>
      <c r="F24" s="87">
        <f>D24</f>
        <v>3119.96</v>
      </c>
      <c r="G24" s="77">
        <f t="shared" si="0"/>
        <v>-2337.66</v>
      </c>
    </row>
    <row r="25" spans="1:7" s="88" customFormat="1" ht="14.25">
      <c r="A25" s="86" t="s">
        <v>31</v>
      </c>
      <c r="B25" s="86" t="s">
        <v>116</v>
      </c>
      <c r="C25" s="87">
        <v>1.86</v>
      </c>
      <c r="D25" s="87">
        <v>17841.19</v>
      </c>
      <c r="E25" s="87">
        <v>15949.4</v>
      </c>
      <c r="F25" s="87">
        <f>F41</f>
        <v>3289.344</v>
      </c>
      <c r="G25" s="77">
        <f t="shared" si="0"/>
        <v>1891.789999999999</v>
      </c>
    </row>
    <row r="26" spans="1:7" s="98" customFormat="1" ht="14.25">
      <c r="A26" s="41" t="s">
        <v>33</v>
      </c>
      <c r="B26" s="41" t="s">
        <v>161</v>
      </c>
      <c r="C26" s="77">
        <v>12.54</v>
      </c>
      <c r="D26" s="77">
        <v>0</v>
      </c>
      <c r="E26" s="77">
        <v>0</v>
      </c>
      <c r="F26" s="87">
        <v>0</v>
      </c>
      <c r="G26" s="77">
        <f t="shared" si="0"/>
        <v>0</v>
      </c>
    </row>
    <row r="27" spans="1:7" s="98" customFormat="1" ht="14.25">
      <c r="A27" s="41" t="s">
        <v>35</v>
      </c>
      <c r="B27" s="41" t="s">
        <v>36</v>
      </c>
      <c r="C27" s="77"/>
      <c r="D27" s="77">
        <f>SUM(D28:D31)</f>
        <v>446739.44</v>
      </c>
      <c r="E27" s="77">
        <f>SUM(E28:E31)</f>
        <v>440057.17</v>
      </c>
      <c r="F27" s="77">
        <f>SUM(F28:F31)</f>
        <v>446739.44</v>
      </c>
      <c r="G27" s="77">
        <f t="shared" si="0"/>
        <v>6682.270000000019</v>
      </c>
    </row>
    <row r="28" spans="1:7" ht="15">
      <c r="A28" s="34" t="s">
        <v>37</v>
      </c>
      <c r="B28" s="34" t="s">
        <v>165</v>
      </c>
      <c r="C28" s="285">
        <v>6</v>
      </c>
      <c r="D28" s="84">
        <v>5326.7</v>
      </c>
      <c r="E28" s="84">
        <v>9835.21</v>
      </c>
      <c r="F28" s="84">
        <f>D28</f>
        <v>5326.7</v>
      </c>
      <c r="G28" s="84">
        <f t="shared" si="0"/>
        <v>-4508.509999999999</v>
      </c>
    </row>
    <row r="29" spans="1:7" ht="15">
      <c r="A29" s="34" t="s">
        <v>39</v>
      </c>
      <c r="B29" s="34" t="s">
        <v>137</v>
      </c>
      <c r="C29" s="285">
        <v>57.08</v>
      </c>
      <c r="D29" s="84">
        <v>99505.72</v>
      </c>
      <c r="E29" s="84">
        <v>97418.34</v>
      </c>
      <c r="F29" s="84">
        <f>D29</f>
        <v>99505.72</v>
      </c>
      <c r="G29" s="84">
        <f t="shared" si="0"/>
        <v>2087.3800000000047</v>
      </c>
    </row>
    <row r="30" spans="1:7" ht="15">
      <c r="A30" s="34" t="s">
        <v>42</v>
      </c>
      <c r="B30" s="34" t="s">
        <v>340</v>
      </c>
      <c r="C30" s="286">
        <v>0</v>
      </c>
      <c r="D30" s="84">
        <v>0</v>
      </c>
      <c r="E30" s="84">
        <v>0</v>
      </c>
      <c r="F30" s="84">
        <f>D30</f>
        <v>0</v>
      </c>
      <c r="G30" s="84">
        <f t="shared" si="0"/>
        <v>0</v>
      </c>
    </row>
    <row r="31" spans="1:7" ht="15">
      <c r="A31" s="34" t="s">
        <v>41</v>
      </c>
      <c r="B31" s="34" t="s">
        <v>43</v>
      </c>
      <c r="C31" s="285">
        <v>2638.8</v>
      </c>
      <c r="D31" s="84">
        <v>341907.02</v>
      </c>
      <c r="E31" s="84">
        <v>332803.62</v>
      </c>
      <c r="F31" s="84">
        <f>D31</f>
        <v>341907.02</v>
      </c>
      <c r="G31" s="84">
        <f t="shared" si="0"/>
        <v>9103.400000000023</v>
      </c>
    </row>
    <row r="32" spans="1:9" s="102" customFormat="1" ht="20.25" customHeight="1" thickBot="1">
      <c r="A32" s="446" t="s">
        <v>294</v>
      </c>
      <c r="B32" s="447"/>
      <c r="C32" s="447"/>
      <c r="D32" s="448"/>
      <c r="E32" s="448"/>
      <c r="F32" s="448"/>
      <c r="G32" s="101"/>
      <c r="H32" s="101"/>
      <c r="I32" s="101"/>
    </row>
    <row r="33" spans="1:9" s="67" customFormat="1" ht="15.75" thickBot="1">
      <c r="A33" s="455" t="s">
        <v>413</v>
      </c>
      <c r="B33" s="456"/>
      <c r="C33" s="456"/>
      <c r="D33" s="65">
        <v>378307.19</v>
      </c>
      <c r="E33" s="66"/>
      <c r="F33" s="66"/>
      <c r="G33" s="66"/>
      <c r="H33" s="62"/>
      <c r="I33" s="62"/>
    </row>
    <row r="34" spans="1:9" s="67" customFormat="1" ht="15.75" thickBot="1">
      <c r="A34" s="63" t="s">
        <v>415</v>
      </c>
      <c r="B34" s="64"/>
      <c r="C34" s="64"/>
      <c r="D34" s="69"/>
      <c r="E34" s="70"/>
      <c r="F34" s="70"/>
      <c r="G34" s="144">
        <f>G14+E25-F25</f>
        <v>32076.56299999999</v>
      </c>
      <c r="H34" s="62"/>
      <c r="I34" s="62"/>
    </row>
    <row r="35" spans="1:13" s="102" customFormat="1" ht="18.75" customHeight="1">
      <c r="A35" s="613" t="s">
        <v>144</v>
      </c>
      <c r="B35" s="613"/>
      <c r="C35" s="383"/>
      <c r="D35" s="384"/>
      <c r="E35" s="385"/>
      <c r="F35" s="385"/>
      <c r="G35" s="384"/>
      <c r="H35" s="101"/>
      <c r="I35" s="101"/>
      <c r="J35" s="101"/>
      <c r="K35" s="101"/>
      <c r="L35" s="101"/>
      <c r="M35" s="101"/>
    </row>
    <row r="36" spans="1:13" s="102" customFormat="1" ht="18.75" customHeight="1">
      <c r="A36" s="614" t="s">
        <v>145</v>
      </c>
      <c r="B36" s="614"/>
      <c r="C36" s="220" t="s">
        <v>146</v>
      </c>
      <c r="D36" s="220" t="s">
        <v>147</v>
      </c>
      <c r="E36" s="153" t="s">
        <v>148</v>
      </c>
      <c r="F36" s="284" t="s">
        <v>149</v>
      </c>
      <c r="G36" s="153" t="s">
        <v>150</v>
      </c>
      <c r="H36" s="101"/>
      <c r="I36" s="101"/>
      <c r="J36" s="101"/>
      <c r="K36" s="101"/>
      <c r="L36" s="101"/>
      <c r="M36" s="101"/>
    </row>
    <row r="37" spans="1:13" s="102" customFormat="1" ht="25.5" customHeight="1">
      <c r="A37" s="614"/>
      <c r="B37" s="614"/>
      <c r="C37" s="294">
        <v>78.7</v>
      </c>
      <c r="D37" s="153">
        <f>E37/C37/12</f>
        <v>15.737229987293519</v>
      </c>
      <c r="E37" s="234">
        <v>14862.24</v>
      </c>
      <c r="F37" s="234">
        <v>9908.16</v>
      </c>
      <c r="G37" s="153">
        <f>E37-F37</f>
        <v>4954.08</v>
      </c>
      <c r="H37" s="101"/>
      <c r="I37" s="101"/>
      <c r="J37" s="101"/>
      <c r="K37" s="101"/>
      <c r="L37" s="101"/>
      <c r="M37" s="101"/>
    </row>
    <row r="38" spans="1:11" ht="28.5" customHeight="1">
      <c r="A38" s="444" t="s">
        <v>44</v>
      </c>
      <c r="B38" s="444"/>
      <c r="C38" s="444"/>
      <c r="D38" s="444"/>
      <c r="E38" s="444"/>
      <c r="F38" s="444"/>
      <c r="G38" s="444"/>
      <c r="H38" s="444"/>
      <c r="I38" s="444"/>
      <c r="J38" s="444"/>
      <c r="K38" s="444"/>
    </row>
    <row r="40" spans="1:14" s="74" customFormat="1" ht="37.5" customHeight="1">
      <c r="A40" s="105" t="s">
        <v>11</v>
      </c>
      <c r="B40" s="471" t="s">
        <v>45</v>
      </c>
      <c r="C40" s="484"/>
      <c r="D40" s="105" t="s">
        <v>163</v>
      </c>
      <c r="E40" s="105" t="s">
        <v>162</v>
      </c>
      <c r="F40" s="471" t="s">
        <v>46</v>
      </c>
      <c r="G40" s="484"/>
      <c r="H40" s="244"/>
      <c r="I40" s="245"/>
      <c r="N40" s="108"/>
    </row>
    <row r="41" spans="1:14" s="114" customFormat="1" ht="15">
      <c r="A41" s="109" t="s">
        <v>47</v>
      </c>
      <c r="B41" s="473" t="s">
        <v>111</v>
      </c>
      <c r="C41" s="491"/>
      <c r="D41" s="110"/>
      <c r="E41" s="110"/>
      <c r="F41" s="496">
        <f>SUM(F42:G43)</f>
        <v>3289.344</v>
      </c>
      <c r="G41" s="483"/>
      <c r="H41" s="246"/>
      <c r="I41" s="247"/>
      <c r="N41" s="115"/>
    </row>
    <row r="42" spans="1:7" ht="15">
      <c r="A42" s="34" t="s">
        <v>16</v>
      </c>
      <c r="B42" s="462" t="s">
        <v>652</v>
      </c>
      <c r="C42" s="489"/>
      <c r="D42" s="337" t="s">
        <v>217</v>
      </c>
      <c r="E42" s="337">
        <v>0.01</v>
      </c>
      <c r="F42" s="497">
        <v>3129.85</v>
      </c>
      <c r="G42" s="497"/>
    </row>
    <row r="43" spans="1:7" s="59" customFormat="1" ht="15">
      <c r="A43" s="34" t="s">
        <v>18</v>
      </c>
      <c r="B43" s="182" t="s">
        <v>188</v>
      </c>
      <c r="C43" s="183"/>
      <c r="D43" s="123"/>
      <c r="E43" s="123"/>
      <c r="F43" s="495">
        <f>E25*1%</f>
        <v>159.494</v>
      </c>
      <c r="G43" s="495"/>
    </row>
    <row r="44" s="59" customFormat="1" ht="12.75"/>
    <row r="45" spans="1:6" s="67" customFormat="1" ht="15">
      <c r="A45" s="67" t="s">
        <v>55</v>
      </c>
      <c r="C45" s="125" t="s">
        <v>49</v>
      </c>
      <c r="F45" s="67" t="s">
        <v>90</v>
      </c>
    </row>
    <row r="46" spans="1:7" s="59" customFormat="1" ht="15">
      <c r="A46" s="67"/>
      <c r="B46" s="67"/>
      <c r="C46" s="125"/>
      <c r="D46" s="67"/>
      <c r="E46" s="67"/>
      <c r="F46" s="126" t="s">
        <v>545</v>
      </c>
      <c r="G46" s="67"/>
    </row>
    <row r="47" spans="1:10" s="59" customFormat="1" ht="15">
      <c r="A47" s="67" t="s">
        <v>50</v>
      </c>
      <c r="B47" s="67"/>
      <c r="C47" s="125"/>
      <c r="D47" s="67"/>
      <c r="E47" s="67"/>
      <c r="F47" s="67"/>
      <c r="G47" s="67"/>
      <c r="H47" s="156"/>
      <c r="I47" s="156"/>
      <c r="J47" s="156"/>
    </row>
    <row r="48" spans="1:7" s="59" customFormat="1" ht="15">
      <c r="A48" s="67"/>
      <c r="B48" s="67"/>
      <c r="C48" s="127" t="s">
        <v>51</v>
      </c>
      <c r="D48" s="67"/>
      <c r="E48" s="128"/>
      <c r="F48" s="128"/>
      <c r="G48" s="128"/>
    </row>
    <row r="49" s="59" customFormat="1" ht="12.75"/>
  </sheetData>
  <sheetProtection/>
  <mergeCells count="19">
    <mergeCell ref="A35:B35"/>
    <mergeCell ref="A36:B37"/>
    <mergeCell ref="A32:F32"/>
    <mergeCell ref="A11:K11"/>
    <mergeCell ref="A1:K1"/>
    <mergeCell ref="A2:K2"/>
    <mergeCell ref="A3:K3"/>
    <mergeCell ref="A5:K5"/>
    <mergeCell ref="A10:K10"/>
    <mergeCell ref="F43:G43"/>
    <mergeCell ref="B41:C41"/>
    <mergeCell ref="F41:G41"/>
    <mergeCell ref="A12:K12"/>
    <mergeCell ref="A33:C33"/>
    <mergeCell ref="A38:K38"/>
    <mergeCell ref="B40:C40"/>
    <mergeCell ref="F40:G40"/>
    <mergeCell ref="B42:C42"/>
    <mergeCell ref="F42:G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J55"/>
  <sheetViews>
    <sheetView zoomScalePageLayoutView="0" workbookViewId="0" topLeftCell="A37">
      <selection activeCell="F47" sqref="F47:G47"/>
    </sheetView>
  </sheetViews>
  <sheetFormatPr defaultColWidth="9.140625" defaultRowHeight="15" outlineLevelCol="1"/>
  <cols>
    <col min="1" max="1" width="5.7109375" style="35" customWidth="1"/>
    <col min="2" max="2" width="39.7109375" style="35" customWidth="1"/>
    <col min="3" max="3" width="14.00390625" style="35" customWidth="1"/>
    <col min="4" max="4" width="12.7109375" style="35" customWidth="1"/>
    <col min="5" max="5" width="13.140625" style="35" customWidth="1"/>
    <col min="6" max="6" width="14.57421875" style="35" customWidth="1"/>
    <col min="7" max="7" width="14.421875" style="35" customWidth="1"/>
    <col min="8" max="8" width="10.140625" style="35" hidden="1" customWidth="1" outlineLevel="1"/>
    <col min="9" max="9" width="9.421875" style="35" hidden="1" customWidth="1" outlineLevel="1"/>
    <col min="10" max="10" width="11.28125" style="35" bestFit="1" customWidth="1" collapsed="1"/>
    <col min="11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9" ht="12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</row>
    <row r="4" spans="1:9" ht="12" customHeight="1">
      <c r="A4" s="476" t="s">
        <v>1</v>
      </c>
      <c r="B4" s="475"/>
      <c r="C4" s="475"/>
      <c r="D4" s="475"/>
      <c r="E4" s="475"/>
      <c r="F4" s="475"/>
      <c r="G4" s="475"/>
      <c r="H4" s="475"/>
      <c r="I4" s="475"/>
    </row>
    <row r="5" ht="4.5" customHeight="1"/>
    <row r="6" spans="1:6" s="67" customFormat="1" ht="16.5" customHeight="1">
      <c r="A6" s="67" t="s">
        <v>2</v>
      </c>
      <c r="F6" s="126" t="s">
        <v>58</v>
      </c>
    </row>
    <row r="7" spans="1:6" s="67" customFormat="1" ht="15">
      <c r="A7" s="67" t="s">
        <v>3</v>
      </c>
      <c r="F7" s="126" t="s">
        <v>263</v>
      </c>
    </row>
    <row r="8" s="67" customFormat="1" ht="15"/>
    <row r="9" spans="1:9" s="67" customFormat="1" ht="15">
      <c r="A9" s="445" t="s">
        <v>8</v>
      </c>
      <c r="B9" s="445"/>
      <c r="C9" s="445"/>
      <c r="D9" s="445"/>
      <c r="E9" s="445"/>
      <c r="F9" s="445"/>
      <c r="G9" s="445"/>
      <c r="H9" s="445"/>
      <c r="I9" s="445"/>
    </row>
    <row r="10" spans="1:9" s="67" customFormat="1" ht="1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9" customHeight="1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335</v>
      </c>
      <c r="B13" s="64"/>
      <c r="C13" s="64"/>
      <c r="D13" s="69"/>
      <c r="E13" s="70"/>
      <c r="F13" s="70"/>
      <c r="G13" s="144">
        <f>'[2]Пионерская 15'!$G$35</f>
        <v>94418.54999999999</v>
      </c>
      <c r="H13" s="62"/>
      <c r="I13" s="62"/>
    </row>
    <row r="14" spans="1:9" s="67" customFormat="1" ht="15.75" thickBot="1">
      <c r="A14" s="63" t="s">
        <v>336</v>
      </c>
      <c r="B14" s="64"/>
      <c r="C14" s="64"/>
      <c r="D14" s="69"/>
      <c r="E14" s="70"/>
      <c r="F14" s="70"/>
      <c r="G14" s="144">
        <f>'[2]Пионерская 15'!$G$36</f>
        <v>426343.71609999996</v>
      </c>
      <c r="H14" s="62"/>
      <c r="I14" s="62"/>
    </row>
    <row r="15" s="67" customFormat="1" ht="6.75" customHeight="1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</row>
    <row r="17" spans="1:8" s="167" customFormat="1" ht="14.25" customHeight="1">
      <c r="A17" s="75" t="s">
        <v>14</v>
      </c>
      <c r="B17" s="41" t="s">
        <v>15</v>
      </c>
      <c r="C17" s="135">
        <f>C18+C19+C20+C21</f>
        <v>9.879999999999999</v>
      </c>
      <c r="D17" s="76">
        <v>504910.03</v>
      </c>
      <c r="E17" s="76">
        <v>486150.7</v>
      </c>
      <c r="F17" s="76">
        <f>D17</f>
        <v>504910.03</v>
      </c>
      <c r="G17" s="77">
        <f>D17-E17</f>
        <v>18759.330000000016</v>
      </c>
      <c r="H17" s="145">
        <f>C17</f>
        <v>9.879999999999999</v>
      </c>
    </row>
    <row r="18" spans="1:9" s="67" customFormat="1" ht="14.25" customHeight="1">
      <c r="A18" s="81" t="s">
        <v>16</v>
      </c>
      <c r="B18" s="34" t="s">
        <v>17</v>
      </c>
      <c r="C18" s="99">
        <v>3.46</v>
      </c>
      <c r="D18" s="83">
        <f>D17*I18</f>
        <v>176820.7190080972</v>
      </c>
      <c r="E18" s="83">
        <f>E17*I18</f>
        <v>170251.15607287452</v>
      </c>
      <c r="F18" s="83">
        <f>D18</f>
        <v>176820.7190080972</v>
      </c>
      <c r="G18" s="84">
        <f>D18-E18</f>
        <v>6569.562935222668</v>
      </c>
      <c r="H18" s="145">
        <f>C18</f>
        <v>3.46</v>
      </c>
      <c r="I18" s="67">
        <f>H18/H17</f>
        <v>0.3502024291497976</v>
      </c>
    </row>
    <row r="19" spans="1:9" s="67" customFormat="1" ht="14.25" customHeight="1">
      <c r="A19" s="81" t="s">
        <v>18</v>
      </c>
      <c r="B19" s="34" t="s">
        <v>19</v>
      </c>
      <c r="C19" s="99">
        <v>1.69</v>
      </c>
      <c r="D19" s="83">
        <f>D17*I19</f>
        <v>86366.18934210527</v>
      </c>
      <c r="E19" s="83">
        <f>E17*I19</f>
        <v>83157.35657894738</v>
      </c>
      <c r="F19" s="83">
        <f>D19</f>
        <v>86366.18934210527</v>
      </c>
      <c r="G19" s="84">
        <f>D19-E19</f>
        <v>3208.832763157887</v>
      </c>
      <c r="H19" s="145">
        <f>C19</f>
        <v>1.69</v>
      </c>
      <c r="I19" s="67">
        <f>H19/H17</f>
        <v>0.17105263157894737</v>
      </c>
    </row>
    <row r="20" spans="1:9" s="67" customFormat="1" ht="14.25" customHeight="1">
      <c r="A20" s="81" t="s">
        <v>20</v>
      </c>
      <c r="B20" s="34" t="s">
        <v>21</v>
      </c>
      <c r="C20" s="99">
        <v>1.69</v>
      </c>
      <c r="D20" s="83">
        <f>D17*I20</f>
        <v>86366.18934210527</v>
      </c>
      <c r="E20" s="83">
        <f>E17*I20</f>
        <v>83157.35657894738</v>
      </c>
      <c r="F20" s="83">
        <f>D20</f>
        <v>86366.18934210527</v>
      </c>
      <c r="G20" s="84">
        <f>D20-E20</f>
        <v>3208.832763157887</v>
      </c>
      <c r="H20" s="145">
        <f>C20</f>
        <v>1.69</v>
      </c>
      <c r="I20" s="67">
        <f>H20/H17</f>
        <v>0.17105263157894737</v>
      </c>
    </row>
    <row r="21" spans="1:9" s="67" customFormat="1" ht="15">
      <c r="A21" s="81" t="s">
        <v>22</v>
      </c>
      <c r="B21" s="34" t="s">
        <v>23</v>
      </c>
      <c r="C21" s="99">
        <v>3.04</v>
      </c>
      <c r="D21" s="83">
        <f>D17*I21</f>
        <v>155356.93230769233</v>
      </c>
      <c r="E21" s="83">
        <f>E17*I21</f>
        <v>149584.8307692308</v>
      </c>
      <c r="F21" s="83">
        <f>D21</f>
        <v>155356.93230769233</v>
      </c>
      <c r="G21" s="84">
        <f>D21-E21</f>
        <v>5772.101538461546</v>
      </c>
      <c r="H21" s="145">
        <f>C21</f>
        <v>3.04</v>
      </c>
      <c r="I21" s="67">
        <f>H21/H17</f>
        <v>0.3076923076923077</v>
      </c>
    </row>
    <row r="22" spans="1:9" s="39" customFormat="1" ht="14.25" customHeight="1">
      <c r="A22" s="81" t="s">
        <v>25</v>
      </c>
      <c r="B22" s="86" t="s">
        <v>462</v>
      </c>
      <c r="C22" s="141">
        <v>130</v>
      </c>
      <c r="D22" s="77">
        <v>83070</v>
      </c>
      <c r="E22" s="77">
        <v>79534.09</v>
      </c>
      <c r="F22" s="76">
        <f aca="true" t="shared" si="0" ref="F22:F31">D22</f>
        <v>83070</v>
      </c>
      <c r="G22" s="77">
        <f aca="true" t="shared" si="1" ref="G22:G31">D22-E22</f>
        <v>3535.9100000000035</v>
      </c>
      <c r="H22" s="39">
        <f>71*130</f>
        <v>9230</v>
      </c>
      <c r="I22" s="39">
        <f>D22/H22</f>
        <v>9</v>
      </c>
    </row>
    <row r="23" spans="1:7" s="39" customFormat="1" ht="14.25" customHeight="1">
      <c r="A23" s="41" t="s">
        <v>27</v>
      </c>
      <c r="B23" s="140" t="s">
        <v>28</v>
      </c>
      <c r="C23" s="141">
        <v>0</v>
      </c>
      <c r="D23" s="77">
        <v>0</v>
      </c>
      <c r="E23" s="77">
        <v>0</v>
      </c>
      <c r="F23" s="76">
        <f>D23</f>
        <v>0</v>
      </c>
      <c r="G23" s="77">
        <f t="shared" si="1"/>
        <v>0</v>
      </c>
    </row>
    <row r="24" spans="1:9" s="39" customFormat="1" ht="14.25" customHeight="1">
      <c r="A24" s="41" t="s">
        <v>29</v>
      </c>
      <c r="B24" s="140" t="s">
        <v>161</v>
      </c>
      <c r="C24" s="141" t="s">
        <v>297</v>
      </c>
      <c r="D24" s="77">
        <v>0</v>
      </c>
      <c r="E24" s="77">
        <v>0</v>
      </c>
      <c r="F24" s="76">
        <f t="shared" si="0"/>
        <v>0</v>
      </c>
      <c r="G24" s="77">
        <f t="shared" si="1"/>
        <v>0</v>
      </c>
      <c r="H24" s="39">
        <f>39.62+1902.11</f>
        <v>1941.7299999999998</v>
      </c>
      <c r="I24" s="39">
        <f>H24/3919.4</f>
        <v>0.4954151145583507</v>
      </c>
    </row>
    <row r="25" spans="1:10" s="39" customFormat="1" ht="14.25" customHeight="1">
      <c r="A25" s="41" t="s">
        <v>31</v>
      </c>
      <c r="B25" s="140" t="s">
        <v>116</v>
      </c>
      <c r="C25" s="97">
        <v>1.86</v>
      </c>
      <c r="D25" s="77">
        <v>87480.72</v>
      </c>
      <c r="E25" s="77">
        <v>85455.4</v>
      </c>
      <c r="F25" s="76">
        <f>F41</f>
        <v>520768.824</v>
      </c>
      <c r="G25" s="77">
        <f t="shared" si="1"/>
        <v>2025.320000000007</v>
      </c>
      <c r="J25" s="181"/>
    </row>
    <row r="26" spans="1:7" s="39" customFormat="1" ht="14.25" customHeight="1">
      <c r="A26" s="41" t="s">
        <v>33</v>
      </c>
      <c r="B26" s="134" t="s">
        <v>34</v>
      </c>
      <c r="C26" s="46">
        <v>0</v>
      </c>
      <c r="D26" s="77">
        <v>0</v>
      </c>
      <c r="E26" s="77">
        <v>0.01</v>
      </c>
      <c r="F26" s="76">
        <f>D26</f>
        <v>0</v>
      </c>
      <c r="G26" s="77">
        <f t="shared" si="1"/>
        <v>-0.01</v>
      </c>
    </row>
    <row r="27" spans="1:7" s="39" customFormat="1" ht="14.25" customHeight="1">
      <c r="A27" s="41" t="s">
        <v>35</v>
      </c>
      <c r="B27" s="134" t="s">
        <v>36</v>
      </c>
      <c r="C27" s="97"/>
      <c r="D27" s="77">
        <f>SUM(D28:D31)</f>
        <v>1924822.94</v>
      </c>
      <c r="E27" s="77">
        <f>SUM(E28:E31)</f>
        <v>1886246.37</v>
      </c>
      <c r="F27" s="76">
        <f t="shared" si="0"/>
        <v>1924822.94</v>
      </c>
      <c r="G27" s="77">
        <f t="shared" si="1"/>
        <v>38576.56999999983</v>
      </c>
    </row>
    <row r="28" spans="1:7" ht="14.25" customHeight="1">
      <c r="A28" s="34" t="s">
        <v>37</v>
      </c>
      <c r="B28" s="34" t="s">
        <v>165</v>
      </c>
      <c r="C28" s="285">
        <v>6</v>
      </c>
      <c r="D28" s="84">
        <v>60966.01</v>
      </c>
      <c r="E28" s="84">
        <v>59411.92</v>
      </c>
      <c r="F28" s="83">
        <f>D28</f>
        <v>60966.01</v>
      </c>
      <c r="G28" s="84">
        <f t="shared" si="1"/>
        <v>1554.0900000000038</v>
      </c>
    </row>
    <row r="29" spans="1:7" ht="14.25" customHeight="1">
      <c r="A29" s="34" t="s">
        <v>39</v>
      </c>
      <c r="B29" s="34" t="s">
        <v>137</v>
      </c>
      <c r="C29" s="285">
        <v>57.08</v>
      </c>
      <c r="D29" s="84">
        <v>519153.49</v>
      </c>
      <c r="E29" s="84">
        <v>506783.26</v>
      </c>
      <c r="F29" s="83">
        <f t="shared" si="0"/>
        <v>519153.49</v>
      </c>
      <c r="G29" s="84">
        <f t="shared" si="1"/>
        <v>12370.229999999981</v>
      </c>
    </row>
    <row r="30" spans="1:7" ht="14.25" customHeight="1">
      <c r="A30" s="34" t="s">
        <v>42</v>
      </c>
      <c r="B30" s="139" t="s">
        <v>340</v>
      </c>
      <c r="C30" s="286">
        <v>0</v>
      </c>
      <c r="D30" s="84">
        <v>0</v>
      </c>
      <c r="E30" s="84">
        <v>0</v>
      </c>
      <c r="F30" s="83">
        <f t="shared" si="0"/>
        <v>0</v>
      </c>
      <c r="G30" s="84">
        <f t="shared" si="1"/>
        <v>0</v>
      </c>
    </row>
    <row r="31" spans="1:7" ht="14.25" customHeight="1">
      <c r="A31" s="34" t="s">
        <v>41</v>
      </c>
      <c r="B31" s="34" t="s">
        <v>43</v>
      </c>
      <c r="C31" s="285">
        <v>2638.8</v>
      </c>
      <c r="D31" s="84">
        <v>1344703.44</v>
      </c>
      <c r="E31" s="84">
        <v>1320051.19</v>
      </c>
      <c r="F31" s="83">
        <f t="shared" si="0"/>
        <v>1344703.44</v>
      </c>
      <c r="G31" s="84">
        <f t="shared" si="1"/>
        <v>24652.25</v>
      </c>
    </row>
    <row r="32" spans="1:9" s="102" customFormat="1" ht="15" customHeight="1" thickBot="1">
      <c r="A32" s="446" t="s">
        <v>294</v>
      </c>
      <c r="B32" s="447"/>
      <c r="C32" s="447"/>
      <c r="D32" s="448"/>
      <c r="E32" s="448"/>
      <c r="F32" s="448"/>
      <c r="G32" s="101"/>
      <c r="H32" s="101"/>
      <c r="I32" s="101"/>
    </row>
    <row r="33" spans="1:9" s="67" customFormat="1" ht="15.75" thickBot="1">
      <c r="A33" s="455" t="s">
        <v>420</v>
      </c>
      <c r="B33" s="456"/>
      <c r="C33" s="456"/>
      <c r="D33" s="144">
        <v>601447.28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414</v>
      </c>
      <c r="B35" s="64"/>
      <c r="C35" s="64"/>
      <c r="D35" s="69"/>
      <c r="E35" s="70"/>
      <c r="F35" s="70"/>
      <c r="G35" s="144">
        <f>G13+E26-F26</f>
        <v>94418.55999999998</v>
      </c>
      <c r="H35" s="62"/>
      <c r="I35" s="62"/>
    </row>
    <row r="36" spans="1:9" s="67" customFormat="1" ht="15.75" thickBot="1">
      <c r="A36" s="63" t="s">
        <v>415</v>
      </c>
      <c r="B36" s="64"/>
      <c r="C36" s="64"/>
      <c r="D36" s="69"/>
      <c r="E36" s="70"/>
      <c r="F36" s="70"/>
      <c r="G36" s="144">
        <f>G14+E25-F25</f>
        <v>-8969.707900000038</v>
      </c>
      <c r="H36" s="62"/>
      <c r="I36" s="62"/>
    </row>
    <row r="37" spans="1:9" s="67" customFormat="1" ht="15">
      <c r="A37" s="68"/>
      <c r="B37" s="68"/>
      <c r="C37" s="68"/>
      <c r="D37" s="40"/>
      <c r="E37" s="66"/>
      <c r="F37" s="66"/>
      <c r="G37" s="40"/>
      <c r="H37" s="62"/>
      <c r="I37" s="62"/>
    </row>
    <row r="38" spans="1:9" ht="31.5" customHeight="1">
      <c r="A38" s="444" t="s">
        <v>44</v>
      </c>
      <c r="B38" s="481"/>
      <c r="C38" s="481"/>
      <c r="D38" s="481"/>
      <c r="E38" s="481"/>
      <c r="F38" s="481"/>
      <c r="G38" s="481"/>
      <c r="H38" s="58"/>
      <c r="I38" s="58"/>
    </row>
    <row r="39" ht="9" customHeight="1"/>
    <row r="40" spans="1:7" s="171" customFormat="1" ht="28.5" customHeight="1">
      <c r="A40" s="105" t="s">
        <v>11</v>
      </c>
      <c r="B40" s="176" t="s">
        <v>45</v>
      </c>
      <c r="C40" s="177"/>
      <c r="D40" s="105" t="s">
        <v>163</v>
      </c>
      <c r="E40" s="105" t="s">
        <v>162</v>
      </c>
      <c r="F40" s="471" t="s">
        <v>46</v>
      </c>
      <c r="G40" s="483"/>
    </row>
    <row r="41" spans="1:7" s="114" customFormat="1" ht="15" customHeight="1">
      <c r="A41" s="109">
        <v>1</v>
      </c>
      <c r="B41" s="473" t="s">
        <v>111</v>
      </c>
      <c r="C41" s="491"/>
      <c r="D41" s="109"/>
      <c r="E41" s="109"/>
      <c r="F41" s="496">
        <f>SUM(F42:G47)</f>
        <v>520768.824</v>
      </c>
      <c r="G41" s="483"/>
    </row>
    <row r="42" spans="1:7" ht="21" customHeight="1">
      <c r="A42" s="34" t="s">
        <v>16</v>
      </c>
      <c r="B42" s="353" t="s">
        <v>549</v>
      </c>
      <c r="C42" s="183"/>
      <c r="D42" s="338" t="s">
        <v>227</v>
      </c>
      <c r="E42" s="340">
        <v>0.551</v>
      </c>
      <c r="F42" s="497">
        <v>439214.27</v>
      </c>
      <c r="G42" s="497"/>
    </row>
    <row r="43" spans="1:7" ht="15.75" customHeight="1">
      <c r="A43" s="34" t="s">
        <v>18</v>
      </c>
      <c r="B43" s="353" t="s">
        <v>550</v>
      </c>
      <c r="C43" s="183"/>
      <c r="D43" s="338"/>
      <c r="E43" s="340"/>
      <c r="F43" s="497">
        <v>30000</v>
      </c>
      <c r="G43" s="497"/>
    </row>
    <row r="44" spans="1:7" ht="15.75" customHeight="1">
      <c r="A44" s="34" t="s">
        <v>20</v>
      </c>
      <c r="B44" s="380" t="s">
        <v>551</v>
      </c>
      <c r="C44" s="183"/>
      <c r="D44" s="338"/>
      <c r="E44" s="340"/>
      <c r="F44" s="497">
        <v>30000</v>
      </c>
      <c r="G44" s="497"/>
    </row>
    <row r="45" spans="1:7" ht="24" customHeight="1">
      <c r="A45" s="34" t="s">
        <v>22</v>
      </c>
      <c r="B45" s="353" t="s">
        <v>541</v>
      </c>
      <c r="C45" s="183"/>
      <c r="D45" s="338"/>
      <c r="E45" s="340"/>
      <c r="F45" s="497">
        <v>9500</v>
      </c>
      <c r="G45" s="497"/>
    </row>
    <row r="46" spans="1:7" ht="15.75" customHeight="1">
      <c r="A46" s="34" t="s">
        <v>24</v>
      </c>
      <c r="B46" s="182" t="s">
        <v>814</v>
      </c>
      <c r="C46" s="183"/>
      <c r="D46" s="124" t="s">
        <v>391</v>
      </c>
      <c r="E46" s="184">
        <v>4</v>
      </c>
      <c r="F46" s="495">
        <v>11200</v>
      </c>
      <c r="G46" s="495"/>
    </row>
    <row r="47" spans="1:7" ht="15.75" customHeight="1">
      <c r="A47" s="34" t="s">
        <v>103</v>
      </c>
      <c r="B47" s="148" t="s">
        <v>188</v>
      </c>
      <c r="C47" s="149"/>
      <c r="D47" s="118"/>
      <c r="E47" s="118"/>
      <c r="F47" s="495">
        <f>E25*1%</f>
        <v>854.554</v>
      </c>
      <c r="G47" s="495"/>
    </row>
    <row r="48" spans="1:7" ht="15.75" customHeight="1">
      <c r="A48" s="168"/>
      <c r="B48" s="179"/>
      <c r="C48" s="179"/>
      <c r="D48" s="179"/>
      <c r="E48" s="179"/>
      <c r="F48" s="180"/>
      <c r="G48" s="180"/>
    </row>
    <row r="49" spans="2:5" ht="9" customHeight="1">
      <c r="B49" s="154"/>
      <c r="C49" s="154"/>
      <c r="D49" s="154"/>
      <c r="E49" s="154"/>
    </row>
    <row r="50" spans="1:5" s="67" customFormat="1" ht="15">
      <c r="A50" s="67" t="s">
        <v>55</v>
      </c>
      <c r="C50" s="67" t="s">
        <v>49</v>
      </c>
      <c r="E50" s="67" t="s">
        <v>90</v>
      </c>
    </row>
    <row r="51" s="67" customFormat="1" ht="7.5" customHeight="1"/>
    <row r="52" s="67" customFormat="1" ht="13.5" customHeight="1">
      <c r="F52" s="126" t="s">
        <v>545</v>
      </c>
    </row>
    <row r="53" s="67" customFormat="1" ht="7.5" customHeight="1"/>
    <row r="54" s="67" customFormat="1" ht="15">
      <c r="A54" s="67" t="s">
        <v>50</v>
      </c>
    </row>
    <row r="55" spans="3:7" s="67" customFormat="1" ht="15">
      <c r="C55" s="128" t="s">
        <v>51</v>
      </c>
      <c r="E55" s="128"/>
      <c r="F55" s="128"/>
      <c r="G55" s="128"/>
    </row>
    <row r="56" s="67" customFormat="1" ht="15"/>
    <row r="57" s="67" customFormat="1" ht="15"/>
  </sheetData>
  <sheetProtection/>
  <mergeCells count="19">
    <mergeCell ref="F47:G47"/>
    <mergeCell ref="F42:G42"/>
    <mergeCell ref="F41:G41"/>
    <mergeCell ref="A11:I11"/>
    <mergeCell ref="F40:G40"/>
    <mergeCell ref="A33:C33"/>
    <mergeCell ref="B41:C41"/>
    <mergeCell ref="A38:G38"/>
    <mergeCell ref="F43:G43"/>
    <mergeCell ref="F46:G46"/>
    <mergeCell ref="F45:G45"/>
    <mergeCell ref="A32:F32"/>
    <mergeCell ref="A10:I10"/>
    <mergeCell ref="A1:I1"/>
    <mergeCell ref="A2:I2"/>
    <mergeCell ref="A4:I4"/>
    <mergeCell ref="A9:I9"/>
    <mergeCell ref="A3:I3"/>
    <mergeCell ref="F44:G44"/>
  </mergeCells>
  <printOptions/>
  <pageMargins left="0.7874015748031497" right="0" top="0.5905511811023623" bottom="0.5905511811023623" header="0.31496062992125984" footer="0.31496062992125984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7030A0"/>
  </sheetPr>
  <dimension ref="A1:P47"/>
  <sheetViews>
    <sheetView zoomScalePageLayoutView="0" workbookViewId="0" topLeftCell="B31">
      <selection activeCell="G35" sqref="G35"/>
    </sheetView>
  </sheetViews>
  <sheetFormatPr defaultColWidth="9.140625" defaultRowHeight="15" outlineLevelCol="1"/>
  <cols>
    <col min="1" max="1" width="5.8515625" style="57" customWidth="1"/>
    <col min="2" max="2" width="47.00390625" style="57" customWidth="1"/>
    <col min="3" max="4" width="14.8515625" style="57" customWidth="1"/>
    <col min="5" max="5" width="12.57421875" style="57" customWidth="1"/>
    <col min="6" max="6" width="12.4218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12" s="59" customFormat="1" ht="16.5" customHeight="1">
      <c r="A7" s="59" t="s">
        <v>2</v>
      </c>
      <c r="F7" s="60" t="s">
        <v>152</v>
      </c>
      <c r="H7" s="60"/>
      <c r="L7" s="61"/>
    </row>
    <row r="8" spans="1:8" s="59" customFormat="1" ht="12.75">
      <c r="A8" s="59" t="s">
        <v>3</v>
      </c>
      <c r="F8" s="301" t="s">
        <v>153</v>
      </c>
      <c r="H8" s="60"/>
    </row>
    <row r="9" spans="1:11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336</v>
      </c>
      <c r="B13" s="64"/>
      <c r="C13" s="64"/>
      <c r="D13" s="69"/>
      <c r="E13" s="70"/>
      <c r="F13" s="70"/>
      <c r="G13" s="65">
        <f>'[2]Дубрава 3'!$G$34</f>
        <v>-133072.98240000004</v>
      </c>
      <c r="H13" s="62"/>
      <c r="I13" s="62"/>
    </row>
    <row r="14" s="59" customFormat="1" ht="6.75" customHeight="1"/>
    <row r="15" spans="1:7" s="74" customFormat="1" ht="52.5" customHeight="1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6" s="59" customFormat="1" ht="28.5">
      <c r="A16" s="75" t="s">
        <v>14</v>
      </c>
      <c r="B16" s="41" t="s">
        <v>15</v>
      </c>
      <c r="C16" s="135">
        <f>C17+C18+C19+C20</f>
        <v>9.879999999999999</v>
      </c>
      <c r="D16" s="76">
        <v>90698.18</v>
      </c>
      <c r="E16" s="76">
        <v>88070.76</v>
      </c>
      <c r="F16" s="76">
        <f aca="true" t="shared" si="0" ref="F16:F22">D16</f>
        <v>90698.18</v>
      </c>
      <c r="G16" s="77">
        <f>D16-E16</f>
        <v>2627.4199999999983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31762.722955465586</v>
      </c>
      <c r="E17" s="83">
        <f>E16*I17</f>
        <v>30842.594089068825</v>
      </c>
      <c r="F17" s="83">
        <f t="shared" si="0"/>
        <v>31762.722955465586</v>
      </c>
      <c r="G17" s="84">
        <f>D17-E17</f>
        <v>920.1288663967607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15514.162368421052</v>
      </c>
      <c r="E18" s="83">
        <f>E16*I18</f>
        <v>15064.735263157894</v>
      </c>
      <c r="F18" s="83">
        <f t="shared" si="0"/>
        <v>15514.162368421052</v>
      </c>
      <c r="G18" s="84">
        <f>D18-E18</f>
        <v>449.4271052631575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15514.162368421052</v>
      </c>
      <c r="E19" s="83">
        <f>E16*I19</f>
        <v>15064.735263157894</v>
      </c>
      <c r="F19" s="83">
        <f t="shared" si="0"/>
        <v>15514.162368421052</v>
      </c>
      <c r="G19" s="84">
        <f>D19-E19</f>
        <v>449.4271052631575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27907.132307692307</v>
      </c>
      <c r="E20" s="83">
        <f>E16*I20</f>
        <v>27098.695384615385</v>
      </c>
      <c r="F20" s="83">
        <f t="shared" si="0"/>
        <v>27907.132307692307</v>
      </c>
      <c r="G20" s="84">
        <f>D20-E20</f>
        <v>808.4369230769225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267</v>
      </c>
      <c r="C21" s="97" t="s">
        <v>798</v>
      </c>
      <c r="D21" s="87">
        <v>3120</v>
      </c>
      <c r="E21" s="87">
        <v>3329.44</v>
      </c>
      <c r="F21" s="87">
        <f t="shared" si="0"/>
        <v>3120</v>
      </c>
      <c r="G21" s="77">
        <f aca="true" t="shared" si="1" ref="G21:G30">D21-E21</f>
        <v>-209.44000000000005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1">
        <v>0</v>
      </c>
      <c r="D23" s="87">
        <v>0</v>
      </c>
      <c r="E23" s="87">
        <v>0</v>
      </c>
      <c r="F23" s="87"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87">
        <v>1.86</v>
      </c>
      <c r="D24" s="87">
        <v>16122.84</v>
      </c>
      <c r="E24" s="87">
        <v>15630.99</v>
      </c>
      <c r="F24" s="87">
        <f>F39</f>
        <v>156.3099</v>
      </c>
      <c r="G24" s="77">
        <f t="shared" si="1"/>
        <v>491.85000000000036</v>
      </c>
      <c r="H24" s="88"/>
      <c r="I24" s="88"/>
      <c r="J24" s="88"/>
      <c r="K24" s="88"/>
    </row>
    <row r="25" spans="1:11" ht="14.25">
      <c r="A25" s="41" t="s">
        <v>33</v>
      </c>
      <c r="B25" s="41" t="s">
        <v>161</v>
      </c>
      <c r="C25" s="77">
        <v>0</v>
      </c>
      <c r="D25" s="77">
        <v>0</v>
      </c>
      <c r="E25" s="77">
        <v>0</v>
      </c>
      <c r="F25" s="87"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104432.43999999999</v>
      </c>
      <c r="E26" s="77">
        <f>SUM(E27:E30)</f>
        <v>111358.18</v>
      </c>
      <c r="F26" s="77">
        <f>SUM(F27:F30)</f>
        <v>104432.43999999999</v>
      </c>
      <c r="G26" s="77">
        <f t="shared" si="1"/>
        <v>-6925.740000000005</v>
      </c>
      <c r="H26" s="98"/>
      <c r="I26" s="98"/>
      <c r="J26" s="98"/>
      <c r="K26" s="98"/>
    </row>
    <row r="27" spans="1:7" ht="15">
      <c r="A27" s="34" t="s">
        <v>37</v>
      </c>
      <c r="B27" s="34" t="s">
        <v>165</v>
      </c>
      <c r="C27" s="285">
        <v>6</v>
      </c>
      <c r="D27" s="84">
        <v>3140.4</v>
      </c>
      <c r="E27" s="84">
        <v>3038.43</v>
      </c>
      <c r="F27" s="84">
        <f>D27</f>
        <v>3140.4</v>
      </c>
      <c r="G27" s="84">
        <f t="shared" si="1"/>
        <v>101.97000000000025</v>
      </c>
    </row>
    <row r="28" spans="1:7" ht="15">
      <c r="A28" s="34" t="s">
        <v>39</v>
      </c>
      <c r="B28" s="34" t="s">
        <v>137</v>
      </c>
      <c r="C28" s="285">
        <v>57.08</v>
      </c>
      <c r="D28" s="84">
        <v>101292.04</v>
      </c>
      <c r="E28" s="84">
        <v>108319.75</v>
      </c>
      <c r="F28" s="84">
        <f>D28</f>
        <v>101292.04</v>
      </c>
      <c r="G28" s="84">
        <f t="shared" si="1"/>
        <v>-7027.710000000006</v>
      </c>
    </row>
    <row r="29" spans="1:7" ht="15">
      <c r="A29" s="34" t="s">
        <v>42</v>
      </c>
      <c r="B29" s="34" t="s">
        <v>340</v>
      </c>
      <c r="C29" s="286">
        <v>0</v>
      </c>
      <c r="D29" s="84">
        <v>0</v>
      </c>
      <c r="E29" s="84">
        <v>0</v>
      </c>
      <c r="F29" s="84">
        <f>D29</f>
        <v>0</v>
      </c>
      <c r="G29" s="84">
        <f t="shared" si="1"/>
        <v>0</v>
      </c>
    </row>
    <row r="30" spans="1:7" ht="15">
      <c r="A30" s="34" t="s">
        <v>41</v>
      </c>
      <c r="B30" s="34" t="s">
        <v>43</v>
      </c>
      <c r="C30" s="285">
        <v>0</v>
      </c>
      <c r="D30" s="84">
        <v>0</v>
      </c>
      <c r="E30" s="84">
        <v>0</v>
      </c>
      <c r="F30" s="84">
        <f>D30</f>
        <v>0</v>
      </c>
      <c r="G30" s="84">
        <f t="shared" si="1"/>
        <v>0</v>
      </c>
    </row>
    <row r="31" spans="1:9" s="102" customFormat="1" ht="7.5" customHeight="1" thickBot="1">
      <c r="A31" s="100"/>
      <c r="B31" s="100"/>
      <c r="C31" s="100"/>
      <c r="D31" s="101"/>
      <c r="E31" s="101"/>
      <c r="F31" s="101"/>
      <c r="G31" s="101"/>
      <c r="H31" s="101"/>
      <c r="I31" s="101"/>
    </row>
    <row r="32" spans="1:9" s="67" customFormat="1" ht="15.75" thickBot="1">
      <c r="A32" s="455" t="s">
        <v>413</v>
      </c>
      <c r="B32" s="456"/>
      <c r="C32" s="456"/>
      <c r="D32" s="65">
        <v>26167.28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4" s="67" customFormat="1" ht="15.75" thickBot="1">
      <c r="A34" s="63" t="s">
        <v>415</v>
      </c>
      <c r="B34" s="64"/>
      <c r="C34" s="64"/>
      <c r="D34" s="69"/>
      <c r="E34" s="70"/>
      <c r="F34" s="70"/>
      <c r="G34" s="144">
        <f>G13+E24-F24</f>
        <v>-117598.30230000002</v>
      </c>
      <c r="H34" s="62"/>
      <c r="I34" s="62"/>
      <c r="N34" s="145"/>
    </row>
    <row r="35" spans="1:11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</row>
    <row r="36" spans="1:13" s="102" customFormat="1" ht="25.5" customHeight="1">
      <c r="A36" s="444" t="s">
        <v>44</v>
      </c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101"/>
      <c r="M36" s="101"/>
    </row>
    <row r="37" ht="23.25" customHeight="1"/>
    <row r="38" spans="1:11" ht="28.5">
      <c r="A38" s="105" t="s">
        <v>11</v>
      </c>
      <c r="B38" s="471" t="s">
        <v>45</v>
      </c>
      <c r="C38" s="484"/>
      <c r="D38" s="105" t="s">
        <v>163</v>
      </c>
      <c r="E38" s="105" t="s">
        <v>162</v>
      </c>
      <c r="F38" s="471" t="s">
        <v>46</v>
      </c>
      <c r="G38" s="484"/>
      <c r="H38" s="244"/>
      <c r="I38" s="245"/>
      <c r="J38" s="74"/>
      <c r="K38" s="74"/>
    </row>
    <row r="39" spans="1:14" s="74" customFormat="1" ht="15">
      <c r="A39" s="109" t="s">
        <v>47</v>
      </c>
      <c r="B39" s="473" t="s">
        <v>111</v>
      </c>
      <c r="C39" s="491"/>
      <c r="D39" s="110"/>
      <c r="E39" s="110"/>
      <c r="F39" s="496">
        <f>SUM(F40:F42)</f>
        <v>156.3099</v>
      </c>
      <c r="G39" s="483"/>
      <c r="H39" s="246"/>
      <c r="I39" s="247"/>
      <c r="J39" s="114"/>
      <c r="K39" s="114"/>
      <c r="N39" s="108"/>
    </row>
    <row r="40" spans="1:14" s="74" customFormat="1" ht="15">
      <c r="A40" s="34" t="s">
        <v>16</v>
      </c>
      <c r="B40" s="493"/>
      <c r="C40" s="494"/>
      <c r="D40" s="339"/>
      <c r="E40" s="339"/>
      <c r="F40" s="563"/>
      <c r="G40" s="564"/>
      <c r="H40" s="112"/>
      <c r="I40" s="113"/>
      <c r="J40" s="114"/>
      <c r="K40" s="114"/>
      <c r="N40" s="108"/>
    </row>
    <row r="41" spans="1:14" s="74" customFormat="1" ht="15">
      <c r="A41" s="34" t="s">
        <v>18</v>
      </c>
      <c r="B41" s="493"/>
      <c r="C41" s="494"/>
      <c r="D41" s="194"/>
      <c r="E41" s="194"/>
      <c r="F41" s="615"/>
      <c r="G41" s="483"/>
      <c r="H41" s="112"/>
      <c r="I41" s="113"/>
      <c r="J41" s="114"/>
      <c r="K41" s="114"/>
      <c r="N41" s="108"/>
    </row>
    <row r="42" spans="1:7" s="59" customFormat="1" ht="15">
      <c r="A42" s="34" t="s">
        <v>20</v>
      </c>
      <c r="B42" s="511" t="s">
        <v>188</v>
      </c>
      <c r="C42" s="512"/>
      <c r="D42" s="123"/>
      <c r="E42" s="123"/>
      <c r="F42" s="495">
        <f>E24*1%</f>
        <v>156.3099</v>
      </c>
      <c r="G42" s="495"/>
    </row>
    <row r="43" s="59" customFormat="1" ht="12.75"/>
    <row r="44" spans="1:6" s="67" customFormat="1" ht="15">
      <c r="A44" s="67" t="s">
        <v>55</v>
      </c>
      <c r="C44" s="125" t="s">
        <v>49</v>
      </c>
      <c r="F44" s="67" t="s">
        <v>90</v>
      </c>
    </row>
    <row r="45" spans="1:7" s="59" customFormat="1" ht="15">
      <c r="A45" s="67"/>
      <c r="B45" s="67"/>
      <c r="C45" s="125"/>
      <c r="D45" s="67"/>
      <c r="E45" s="67"/>
      <c r="F45" s="126" t="s">
        <v>545</v>
      </c>
      <c r="G45" s="67"/>
    </row>
    <row r="46" spans="1:10" s="59" customFormat="1" ht="15">
      <c r="A46" s="67" t="s">
        <v>50</v>
      </c>
      <c r="B46" s="67"/>
      <c r="C46" s="125"/>
      <c r="D46" s="67"/>
      <c r="E46" s="67"/>
      <c r="F46" s="67"/>
      <c r="G46" s="67"/>
      <c r="H46" s="156"/>
      <c r="I46" s="156"/>
      <c r="J46" s="156"/>
    </row>
    <row r="47" spans="1:7" s="59" customFormat="1" ht="15">
      <c r="A47" s="67"/>
      <c r="B47" s="67"/>
      <c r="C47" s="127" t="s">
        <v>51</v>
      </c>
      <c r="D47" s="67"/>
      <c r="E47" s="128"/>
      <c r="F47" s="128"/>
      <c r="G47" s="128"/>
    </row>
    <row r="48" s="59" customFormat="1" ht="12.75"/>
  </sheetData>
  <sheetProtection/>
  <mergeCells count="19">
    <mergeCell ref="A1:K1"/>
    <mergeCell ref="A2:K2"/>
    <mergeCell ref="A3:K3"/>
    <mergeCell ref="A5:K5"/>
    <mergeCell ref="A9:K9"/>
    <mergeCell ref="F40:G40"/>
    <mergeCell ref="B39:C39"/>
    <mergeCell ref="F39:G39"/>
    <mergeCell ref="B40:C40"/>
    <mergeCell ref="F41:G41"/>
    <mergeCell ref="A10:K10"/>
    <mergeCell ref="B41:C41"/>
    <mergeCell ref="A11:K11"/>
    <mergeCell ref="F42:G42"/>
    <mergeCell ref="B42:C42"/>
    <mergeCell ref="A32:C32"/>
    <mergeCell ref="A36:K36"/>
    <mergeCell ref="B38:C38"/>
    <mergeCell ref="F38:G38"/>
  </mergeCells>
  <printOptions/>
  <pageMargins left="0.7" right="0.7" top="0.75" bottom="0.75" header="0.3" footer="0.3"/>
  <pageSetup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7030A0"/>
  </sheetPr>
  <dimension ref="A1:P47"/>
  <sheetViews>
    <sheetView zoomScalePageLayoutView="0" workbookViewId="0" topLeftCell="B32">
      <selection activeCell="G36" sqref="G36"/>
    </sheetView>
  </sheetViews>
  <sheetFormatPr defaultColWidth="9.140625" defaultRowHeight="15" outlineLevelCol="1"/>
  <cols>
    <col min="1" max="1" width="5.8515625" style="57" customWidth="1"/>
    <col min="2" max="2" width="47.00390625" style="57" customWidth="1"/>
    <col min="3" max="4" width="14.8515625" style="57" customWidth="1"/>
    <col min="5" max="5" width="12.57421875" style="57" customWidth="1"/>
    <col min="6" max="6" width="12.4218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7109375" style="57" bestFit="1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12" s="59" customFormat="1" ht="16.5" customHeight="1">
      <c r="A7" s="59" t="s">
        <v>2</v>
      </c>
      <c r="F7" s="60" t="s">
        <v>174</v>
      </c>
      <c r="H7" s="60"/>
      <c r="L7" s="251"/>
    </row>
    <row r="8" spans="1:9" s="59" customFormat="1" ht="12.75">
      <c r="A8" s="59" t="s">
        <v>3</v>
      </c>
      <c r="F8" s="301" t="s">
        <v>454</v>
      </c>
      <c r="H8" s="60"/>
      <c r="I8" s="59">
        <f>719-2.3</f>
        <v>716.7</v>
      </c>
    </row>
    <row r="9" spans="1:11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336</v>
      </c>
      <c r="B13" s="64"/>
      <c r="C13" s="64"/>
      <c r="D13" s="69"/>
      <c r="E13" s="70"/>
      <c r="F13" s="70"/>
      <c r="G13" s="65">
        <f>'[2]Дубрава 4'!$G$35</f>
        <v>6080.622200000001</v>
      </c>
      <c r="H13" s="62"/>
      <c r="I13" s="62"/>
    </row>
    <row r="14" s="59" customFormat="1" ht="6.75" customHeight="1"/>
    <row r="15" spans="1:7" s="74" customFormat="1" ht="52.5" customHeight="1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6" s="59" customFormat="1" ht="28.5">
      <c r="A16" s="75" t="s">
        <v>14</v>
      </c>
      <c r="B16" s="41" t="s">
        <v>15</v>
      </c>
      <c r="C16" s="135">
        <f>C17+C18+C19+C20</f>
        <v>9.879999999999999</v>
      </c>
      <c r="D16" s="76">
        <v>90405.16</v>
      </c>
      <c r="E16" s="76">
        <v>86845.66</v>
      </c>
      <c r="F16" s="76">
        <f>D16</f>
        <v>90405.16</v>
      </c>
      <c r="G16" s="77">
        <f>D16-E16</f>
        <v>3559.5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31660.106639676116</v>
      </c>
      <c r="E17" s="83">
        <f>E16*I17</f>
        <v>30413.561093117412</v>
      </c>
      <c r="F17" s="83">
        <f>D17</f>
        <v>31660.106639676116</v>
      </c>
      <c r="G17" s="84">
        <f>D17-E17</f>
        <v>1246.5455465587038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15464.04052631579</v>
      </c>
      <c r="E18" s="83">
        <f>E16*I18</f>
        <v>14855.178684210527</v>
      </c>
      <c r="F18" s="83">
        <f>D18</f>
        <v>15464.04052631579</v>
      </c>
      <c r="G18" s="84">
        <f>D18-E18</f>
        <v>608.8618421052633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15464.04052631579</v>
      </c>
      <c r="E19" s="83">
        <f>E16*I19</f>
        <v>14855.178684210527</v>
      </c>
      <c r="F19" s="83">
        <f>D19</f>
        <v>15464.04052631579</v>
      </c>
      <c r="G19" s="84">
        <f>D19-E19</f>
        <v>608.8618421052633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27816.97230769231</v>
      </c>
      <c r="E20" s="83">
        <f>E16*I20</f>
        <v>26721.74153846154</v>
      </c>
      <c r="F20" s="83">
        <f>D20</f>
        <v>27816.97230769231</v>
      </c>
      <c r="G20" s="84">
        <f>D20-E20</f>
        <v>1095.2307692307695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</v>
      </c>
      <c r="C21" s="99">
        <v>0</v>
      </c>
      <c r="D21" s="87">
        <v>0</v>
      </c>
      <c r="E21" s="87">
        <v>0</v>
      </c>
      <c r="F21" s="87">
        <v>0</v>
      </c>
      <c r="G21" s="77">
        <f aca="true" t="shared" si="0" ref="G21:G31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1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87">
        <v>5</v>
      </c>
      <c r="D24" s="87">
        <v>43128.5</v>
      </c>
      <c r="E24" s="87">
        <v>41658.27</v>
      </c>
      <c r="F24" s="87">
        <f>F40</f>
        <v>416.5827</v>
      </c>
      <c r="G24" s="77">
        <f t="shared" si="0"/>
        <v>1470.2300000000032</v>
      </c>
      <c r="H24" s="88"/>
      <c r="I24" s="88"/>
      <c r="J24" s="88"/>
      <c r="K24" s="88"/>
    </row>
    <row r="25" spans="1:11" ht="14.25">
      <c r="A25" s="41" t="s">
        <v>33</v>
      </c>
      <c r="B25" s="41" t="s">
        <v>161</v>
      </c>
      <c r="C25" s="77">
        <v>12.54</v>
      </c>
      <c r="D25" s="77">
        <v>0</v>
      </c>
      <c r="E25" s="77">
        <v>0</v>
      </c>
      <c r="F25" s="87"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267</v>
      </c>
      <c r="C26" s="77" t="s">
        <v>798</v>
      </c>
      <c r="D26" s="77">
        <v>3119.98</v>
      </c>
      <c r="E26" s="77">
        <v>6772.8</v>
      </c>
      <c r="F26" s="87">
        <f>D26</f>
        <v>3119.98</v>
      </c>
      <c r="G26" s="77">
        <f t="shared" si="0"/>
        <v>-3652.82</v>
      </c>
      <c r="H26" s="98"/>
      <c r="I26" s="98"/>
      <c r="J26" s="98"/>
      <c r="K26" s="98"/>
    </row>
    <row r="27" spans="1:11" ht="14.25">
      <c r="A27" s="41" t="s">
        <v>192</v>
      </c>
      <c r="B27" s="41" t="s">
        <v>36</v>
      </c>
      <c r="C27" s="77"/>
      <c r="D27" s="77">
        <f>SUM(D28:D31)</f>
        <v>512567.20999999996</v>
      </c>
      <c r="E27" s="77">
        <f>SUM(E28:E31)</f>
        <v>485941.99</v>
      </c>
      <c r="F27" s="77">
        <f>SUM(F28:F31)</f>
        <v>512567.20999999996</v>
      </c>
      <c r="G27" s="77">
        <f t="shared" si="0"/>
        <v>26625.219999999972</v>
      </c>
      <c r="H27" s="98"/>
      <c r="I27" s="98"/>
      <c r="J27" s="98"/>
      <c r="K27" s="98"/>
    </row>
    <row r="28" spans="1:7" ht="15">
      <c r="A28" s="34" t="s">
        <v>194</v>
      </c>
      <c r="B28" s="34" t="s">
        <v>165</v>
      </c>
      <c r="C28" s="285">
        <v>6</v>
      </c>
      <c r="D28" s="84">
        <v>19084.54</v>
      </c>
      <c r="E28" s="84">
        <v>15824.51</v>
      </c>
      <c r="F28" s="84">
        <f>D28</f>
        <v>19084.54</v>
      </c>
      <c r="G28" s="84">
        <f t="shared" si="0"/>
        <v>3260.0300000000007</v>
      </c>
    </row>
    <row r="29" spans="1:7" ht="15">
      <c r="A29" s="34" t="s">
        <v>195</v>
      </c>
      <c r="B29" s="34" t="s">
        <v>137</v>
      </c>
      <c r="C29" s="285">
        <v>57.08</v>
      </c>
      <c r="D29" s="84">
        <v>152314.87</v>
      </c>
      <c r="E29" s="84">
        <v>152922.65</v>
      </c>
      <c r="F29" s="84">
        <f>D29</f>
        <v>152314.87</v>
      </c>
      <c r="G29" s="84">
        <f t="shared" si="0"/>
        <v>-607.7799999999988</v>
      </c>
    </row>
    <row r="30" spans="1:7" ht="15">
      <c r="A30" s="34" t="s">
        <v>196</v>
      </c>
      <c r="B30" s="34" t="s">
        <v>340</v>
      </c>
      <c r="C30" s="286">
        <v>0</v>
      </c>
      <c r="D30" s="84">
        <v>0</v>
      </c>
      <c r="E30" s="84">
        <v>0</v>
      </c>
      <c r="F30" s="84">
        <f>D30</f>
        <v>0</v>
      </c>
      <c r="G30" s="84">
        <f t="shared" si="0"/>
        <v>0</v>
      </c>
    </row>
    <row r="31" spans="1:7" ht="15">
      <c r="A31" s="34" t="s">
        <v>197</v>
      </c>
      <c r="B31" s="34" t="s">
        <v>43</v>
      </c>
      <c r="C31" s="285">
        <v>2638.8</v>
      </c>
      <c r="D31" s="84">
        <v>341167.8</v>
      </c>
      <c r="E31" s="84">
        <v>317194.83</v>
      </c>
      <c r="F31" s="84">
        <f>D31</f>
        <v>341167.8</v>
      </c>
      <c r="G31" s="84">
        <f t="shared" si="0"/>
        <v>23972.969999999972</v>
      </c>
    </row>
    <row r="32" spans="1:9" s="102" customFormat="1" ht="15" customHeight="1" thickBot="1">
      <c r="A32" s="446" t="s">
        <v>294</v>
      </c>
      <c r="B32" s="447"/>
      <c r="C32" s="447"/>
      <c r="D32" s="448"/>
      <c r="E32" s="448"/>
      <c r="F32" s="448"/>
      <c r="G32" s="101"/>
      <c r="H32" s="101"/>
      <c r="I32" s="101"/>
    </row>
    <row r="33" spans="1:9" s="67" customFormat="1" ht="15.75" thickBot="1">
      <c r="A33" s="455" t="s">
        <v>413</v>
      </c>
      <c r="B33" s="456"/>
      <c r="C33" s="456"/>
      <c r="D33" s="65">
        <v>581993.5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14" s="67" customFormat="1" ht="15.75" thickBot="1">
      <c r="A35" s="63" t="s">
        <v>415</v>
      </c>
      <c r="B35" s="64"/>
      <c r="C35" s="64"/>
      <c r="D35" s="69"/>
      <c r="E35" s="70"/>
      <c r="F35" s="70"/>
      <c r="G35" s="144">
        <f>G13+E24-F24</f>
        <v>47322.309499999996</v>
      </c>
      <c r="H35" s="62"/>
      <c r="I35" s="62"/>
      <c r="N35" s="145"/>
    </row>
    <row r="36" spans="1:11" s="67" customFormat="1" ht="15">
      <c r="A36" s="104"/>
      <c r="B36" s="104"/>
      <c r="C36" s="104"/>
      <c r="D36" s="104"/>
      <c r="E36" s="101"/>
      <c r="F36" s="101"/>
      <c r="G36" s="101"/>
      <c r="H36" s="101"/>
      <c r="I36" s="101"/>
      <c r="J36" s="101"/>
      <c r="K36" s="101"/>
    </row>
    <row r="37" spans="1:13" s="102" customFormat="1" ht="25.5" customHeight="1">
      <c r="A37" s="444" t="s">
        <v>44</v>
      </c>
      <c r="B37" s="444"/>
      <c r="C37" s="444"/>
      <c r="D37" s="444"/>
      <c r="E37" s="444"/>
      <c r="F37" s="444"/>
      <c r="G37" s="444"/>
      <c r="H37" s="444"/>
      <c r="I37" s="444"/>
      <c r="J37" s="444"/>
      <c r="K37" s="444"/>
      <c r="L37" s="101"/>
      <c r="M37" s="101"/>
    </row>
    <row r="38" ht="23.25" customHeight="1"/>
    <row r="39" spans="1:11" ht="28.5">
      <c r="A39" s="105" t="s">
        <v>11</v>
      </c>
      <c r="B39" s="471" t="s">
        <v>45</v>
      </c>
      <c r="C39" s="484"/>
      <c r="D39" s="105" t="s">
        <v>163</v>
      </c>
      <c r="E39" s="105" t="s">
        <v>162</v>
      </c>
      <c r="F39" s="471" t="s">
        <v>46</v>
      </c>
      <c r="G39" s="484"/>
      <c r="H39" s="244"/>
      <c r="I39" s="245"/>
      <c r="J39" s="74"/>
      <c r="K39" s="74"/>
    </row>
    <row r="40" spans="1:14" s="74" customFormat="1" ht="15">
      <c r="A40" s="109" t="s">
        <v>47</v>
      </c>
      <c r="B40" s="473" t="s">
        <v>111</v>
      </c>
      <c r="C40" s="491"/>
      <c r="D40" s="110"/>
      <c r="E40" s="110"/>
      <c r="F40" s="496">
        <f>SUM(F41:G42)</f>
        <v>416.5827</v>
      </c>
      <c r="G40" s="483"/>
      <c r="H40" s="246"/>
      <c r="I40" s="247"/>
      <c r="J40" s="114"/>
      <c r="K40" s="114"/>
      <c r="N40" s="108"/>
    </row>
    <row r="41" spans="1:14" s="114" customFormat="1" ht="15">
      <c r="A41" s="34" t="s">
        <v>16</v>
      </c>
      <c r="B41" s="462"/>
      <c r="C41" s="489"/>
      <c r="D41" s="337"/>
      <c r="E41" s="337"/>
      <c r="F41" s="525"/>
      <c r="G41" s="526"/>
      <c r="H41" s="40"/>
      <c r="I41" s="40"/>
      <c r="J41" s="57"/>
      <c r="K41" s="57"/>
      <c r="N41" s="115"/>
    </row>
    <row r="42" spans="1:7" s="59" customFormat="1" ht="15">
      <c r="A42" s="34" t="s">
        <v>18</v>
      </c>
      <c r="B42" s="511" t="s">
        <v>188</v>
      </c>
      <c r="C42" s="512"/>
      <c r="D42" s="123"/>
      <c r="E42" s="123"/>
      <c r="F42" s="495">
        <f>E24*1%</f>
        <v>416.5827</v>
      </c>
      <c r="G42" s="495"/>
    </row>
    <row r="43" s="59" customFormat="1" ht="12.75"/>
    <row r="44" spans="1:6" s="67" customFormat="1" ht="15">
      <c r="A44" s="67" t="s">
        <v>55</v>
      </c>
      <c r="C44" s="125" t="s">
        <v>49</v>
      </c>
      <c r="F44" s="67" t="s">
        <v>90</v>
      </c>
    </row>
    <row r="45" spans="1:7" s="59" customFormat="1" ht="15">
      <c r="A45" s="67"/>
      <c r="B45" s="67"/>
      <c r="C45" s="125"/>
      <c r="D45" s="67"/>
      <c r="E45" s="67"/>
      <c r="F45" s="126" t="s">
        <v>545</v>
      </c>
      <c r="G45" s="67"/>
    </row>
    <row r="46" spans="1:10" s="59" customFormat="1" ht="15">
      <c r="A46" s="67" t="s">
        <v>50</v>
      </c>
      <c r="B46" s="67"/>
      <c r="C46" s="125"/>
      <c r="D46" s="67"/>
      <c r="E46" s="67"/>
      <c r="F46" s="67"/>
      <c r="G46" s="67"/>
      <c r="H46" s="156"/>
      <c r="I46" s="156"/>
      <c r="J46" s="156"/>
    </row>
    <row r="47" spans="1:7" s="59" customFormat="1" ht="15">
      <c r="A47" s="67"/>
      <c r="B47" s="67"/>
      <c r="C47" s="127" t="s">
        <v>51</v>
      </c>
      <c r="D47" s="67"/>
      <c r="E47" s="128"/>
      <c r="F47" s="128"/>
      <c r="G47" s="128"/>
    </row>
    <row r="48" s="59" customFormat="1" ht="12.75"/>
  </sheetData>
  <sheetProtection/>
  <mergeCells count="18">
    <mergeCell ref="B39:C39"/>
    <mergeCell ref="A11:K11"/>
    <mergeCell ref="A10:K10"/>
    <mergeCell ref="B40:C40"/>
    <mergeCell ref="A37:K37"/>
    <mergeCell ref="A33:C33"/>
    <mergeCell ref="A32:F32"/>
    <mergeCell ref="F39:G39"/>
    <mergeCell ref="B42:C42"/>
    <mergeCell ref="F42:G42"/>
    <mergeCell ref="B41:C41"/>
    <mergeCell ref="A1:K1"/>
    <mergeCell ref="A2:K2"/>
    <mergeCell ref="A3:K3"/>
    <mergeCell ref="A5:K5"/>
    <mergeCell ref="A9:K9"/>
    <mergeCell ref="F41:G41"/>
    <mergeCell ref="F40:G40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7030A0"/>
  </sheetPr>
  <dimension ref="A1:P48"/>
  <sheetViews>
    <sheetView zoomScalePageLayoutView="0" workbookViewId="0" topLeftCell="A37">
      <selection activeCell="G35" sqref="G35"/>
    </sheetView>
  </sheetViews>
  <sheetFormatPr defaultColWidth="9.140625" defaultRowHeight="15" outlineLevelCol="1"/>
  <cols>
    <col min="1" max="1" width="5.8515625" style="57" customWidth="1"/>
    <col min="2" max="2" width="47.00390625" style="57" customWidth="1"/>
    <col min="3" max="4" width="14.8515625" style="57" customWidth="1"/>
    <col min="5" max="5" width="12.57421875" style="57" customWidth="1"/>
    <col min="6" max="6" width="12.4218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12" s="59" customFormat="1" ht="16.5" customHeight="1">
      <c r="A7" s="59" t="s">
        <v>2</v>
      </c>
      <c r="F7" s="60" t="s">
        <v>175</v>
      </c>
      <c r="H7" s="60"/>
      <c r="L7" s="251"/>
    </row>
    <row r="8" spans="1:9" s="59" customFormat="1" ht="12.75">
      <c r="A8" s="59" t="s">
        <v>3</v>
      </c>
      <c r="F8" s="301" t="s">
        <v>455</v>
      </c>
      <c r="H8" s="60"/>
      <c r="I8" s="59">
        <f>621.6-0.3</f>
        <v>621.3000000000001</v>
      </c>
    </row>
    <row r="9" spans="1:11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336</v>
      </c>
      <c r="B13" s="64"/>
      <c r="C13" s="64"/>
      <c r="D13" s="69"/>
      <c r="E13" s="70"/>
      <c r="F13" s="70"/>
      <c r="G13" s="65">
        <f>'[2]Дубрава 5'!$G$34</f>
        <v>-151965.74349999998</v>
      </c>
      <c r="H13" s="62"/>
      <c r="I13" s="62"/>
    </row>
    <row r="14" s="59" customFormat="1" ht="6.75" customHeight="1"/>
    <row r="15" spans="1:7" s="74" customFormat="1" ht="52.5" customHeight="1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6" s="59" customFormat="1" ht="28.5">
      <c r="A16" s="75" t="s">
        <v>14</v>
      </c>
      <c r="B16" s="41" t="s">
        <v>15</v>
      </c>
      <c r="C16" s="135">
        <f>C17+C18+C19+C20</f>
        <v>9.879999999999999</v>
      </c>
      <c r="D16" s="76">
        <v>78033.2</v>
      </c>
      <c r="E16" s="76">
        <v>76611.42</v>
      </c>
      <c r="F16" s="76">
        <f aca="true" t="shared" si="0" ref="F16:F22">D16</f>
        <v>78033.2</v>
      </c>
      <c r="G16" s="77">
        <f>D16-E16</f>
        <v>1421.7799999999988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27327.416194331985</v>
      </c>
      <c r="E17" s="83">
        <f>E16*I17</f>
        <v>26829.505384615386</v>
      </c>
      <c r="F17" s="83">
        <f t="shared" si="0"/>
        <v>27327.416194331985</v>
      </c>
      <c r="G17" s="84">
        <f>D17-E17</f>
        <v>497.91080971659903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13347.784210526315</v>
      </c>
      <c r="E18" s="83">
        <f>E16*I18</f>
        <v>13104.585000000001</v>
      </c>
      <c r="F18" s="83">
        <f t="shared" si="0"/>
        <v>13347.784210526315</v>
      </c>
      <c r="G18" s="84">
        <f>D18-E18</f>
        <v>243.19921052631435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13347.784210526315</v>
      </c>
      <c r="E19" s="83">
        <f>E16*I19</f>
        <v>13104.585000000001</v>
      </c>
      <c r="F19" s="83">
        <f t="shared" si="0"/>
        <v>13347.784210526315</v>
      </c>
      <c r="G19" s="84">
        <f>D19-E19</f>
        <v>243.19921052631435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24010.215384615385</v>
      </c>
      <c r="E20" s="83">
        <f>E16*I20</f>
        <v>23572.744615384618</v>
      </c>
      <c r="F20" s="83">
        <f t="shared" si="0"/>
        <v>24010.215384615385</v>
      </c>
      <c r="G20" s="84">
        <f>D20-E20</f>
        <v>437.4707692307675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267</v>
      </c>
      <c r="C21" s="97" t="s">
        <v>798</v>
      </c>
      <c r="D21" s="87">
        <v>4160</v>
      </c>
      <c r="E21" s="87">
        <v>835.46</v>
      </c>
      <c r="F21" s="87">
        <f t="shared" si="0"/>
        <v>4160</v>
      </c>
      <c r="G21" s="77">
        <f aca="true" t="shared" si="1" ref="G21:G30">D21-E21</f>
        <v>3324.54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1">
        <v>0</v>
      </c>
      <c r="D23" s="87">
        <v>0</v>
      </c>
      <c r="E23" s="87">
        <v>0</v>
      </c>
      <c r="F23" s="87"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87">
        <v>1.86</v>
      </c>
      <c r="D24" s="87">
        <v>13871.48</v>
      </c>
      <c r="E24" s="87">
        <v>13631.23</v>
      </c>
      <c r="F24" s="87">
        <f>F39</f>
        <v>136.3123</v>
      </c>
      <c r="G24" s="77">
        <f t="shared" si="1"/>
        <v>240.25</v>
      </c>
      <c r="H24" s="88"/>
      <c r="I24" s="88"/>
      <c r="J24" s="88"/>
      <c r="K24" s="88"/>
    </row>
    <row r="25" spans="1:11" ht="14.25">
      <c r="A25" s="41" t="s">
        <v>33</v>
      </c>
      <c r="B25" s="41" t="s">
        <v>161</v>
      </c>
      <c r="C25" s="77">
        <v>0</v>
      </c>
      <c r="D25" s="77">
        <v>0</v>
      </c>
      <c r="E25" s="77">
        <v>0</v>
      </c>
      <c r="F25" s="87"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105075.62999999999</v>
      </c>
      <c r="E26" s="77">
        <f>SUM(E27:E30)</f>
        <v>106177.97</v>
      </c>
      <c r="F26" s="77">
        <f>SUM(F27:F30)</f>
        <v>105075.62999999999</v>
      </c>
      <c r="G26" s="77">
        <f t="shared" si="1"/>
        <v>-1102.340000000011</v>
      </c>
      <c r="H26" s="98"/>
      <c r="I26" s="98"/>
      <c r="J26" s="98"/>
      <c r="K26" s="98"/>
    </row>
    <row r="27" spans="1:7" ht="15">
      <c r="A27" s="34" t="s">
        <v>37</v>
      </c>
      <c r="B27" s="34" t="s">
        <v>165</v>
      </c>
      <c r="C27" s="285">
        <v>6</v>
      </c>
      <c r="D27" s="84">
        <v>2192.76</v>
      </c>
      <c r="E27" s="84">
        <v>2141.45</v>
      </c>
      <c r="F27" s="84">
        <f>D27</f>
        <v>2192.76</v>
      </c>
      <c r="G27" s="84">
        <f t="shared" si="1"/>
        <v>51.3100000000004</v>
      </c>
    </row>
    <row r="28" spans="1:7" ht="15">
      <c r="A28" s="34" t="s">
        <v>39</v>
      </c>
      <c r="B28" s="34" t="s">
        <v>137</v>
      </c>
      <c r="C28" s="285">
        <v>57.08</v>
      </c>
      <c r="D28" s="84">
        <v>102882.87</v>
      </c>
      <c r="E28" s="84">
        <v>104036.52</v>
      </c>
      <c r="F28" s="84">
        <f>D28</f>
        <v>102882.87</v>
      </c>
      <c r="G28" s="84">
        <f t="shared" si="1"/>
        <v>-1153.6500000000087</v>
      </c>
    </row>
    <row r="29" spans="1:7" ht="15">
      <c r="A29" s="34" t="s">
        <v>42</v>
      </c>
      <c r="B29" s="34" t="s">
        <v>340</v>
      </c>
      <c r="C29" s="286">
        <v>0</v>
      </c>
      <c r="D29" s="84">
        <v>0</v>
      </c>
      <c r="E29" s="84">
        <v>0</v>
      </c>
      <c r="F29" s="84">
        <f>D29</f>
        <v>0</v>
      </c>
      <c r="G29" s="84">
        <f t="shared" si="1"/>
        <v>0</v>
      </c>
    </row>
    <row r="30" spans="1:7" ht="15">
      <c r="A30" s="34" t="s">
        <v>41</v>
      </c>
      <c r="B30" s="34" t="s">
        <v>43</v>
      </c>
      <c r="C30" s="285">
        <v>0</v>
      </c>
      <c r="D30" s="84">
        <v>0</v>
      </c>
      <c r="E30" s="84">
        <v>0</v>
      </c>
      <c r="F30" s="84">
        <v>0</v>
      </c>
      <c r="G30" s="84">
        <f t="shared" si="1"/>
        <v>0</v>
      </c>
    </row>
    <row r="31" spans="1:9" s="102" customFormat="1" ht="7.5" customHeight="1" thickBot="1">
      <c r="A31" s="100"/>
      <c r="B31" s="100"/>
      <c r="C31" s="100"/>
      <c r="D31" s="101"/>
      <c r="E31" s="101"/>
      <c r="F31" s="101"/>
      <c r="G31" s="101"/>
      <c r="H31" s="101"/>
      <c r="I31" s="101"/>
    </row>
    <row r="32" spans="1:9" s="67" customFormat="1" ht="15.75" thickBot="1">
      <c r="A32" s="455" t="s">
        <v>413</v>
      </c>
      <c r="B32" s="456"/>
      <c r="C32" s="456"/>
      <c r="D32" s="65">
        <v>27366.94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415</v>
      </c>
      <c r="B34" s="64"/>
      <c r="C34" s="64"/>
      <c r="D34" s="69"/>
      <c r="E34" s="70"/>
      <c r="F34" s="70"/>
      <c r="G34" s="144">
        <f>G13+E24-F24</f>
        <v>-138470.82579999996</v>
      </c>
      <c r="H34" s="62"/>
      <c r="I34" s="62"/>
    </row>
    <row r="35" spans="1:11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</row>
    <row r="36" spans="1:13" s="102" customFormat="1" ht="25.5" customHeight="1">
      <c r="A36" s="444" t="s">
        <v>44</v>
      </c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101"/>
      <c r="M36" s="101"/>
    </row>
    <row r="37" ht="23.25" customHeight="1"/>
    <row r="38" spans="1:11" ht="28.5">
      <c r="A38" s="105" t="s">
        <v>11</v>
      </c>
      <c r="B38" s="471" t="s">
        <v>45</v>
      </c>
      <c r="C38" s="484"/>
      <c r="D38" s="105" t="s">
        <v>163</v>
      </c>
      <c r="E38" s="105" t="s">
        <v>162</v>
      </c>
      <c r="F38" s="471" t="s">
        <v>46</v>
      </c>
      <c r="G38" s="484"/>
      <c r="H38" s="244"/>
      <c r="I38" s="245"/>
      <c r="J38" s="74"/>
      <c r="K38" s="74"/>
    </row>
    <row r="39" spans="1:14" s="74" customFormat="1" ht="15">
      <c r="A39" s="109" t="s">
        <v>47</v>
      </c>
      <c r="B39" s="473" t="s">
        <v>111</v>
      </c>
      <c r="C39" s="491"/>
      <c r="D39" s="110"/>
      <c r="E39" s="110"/>
      <c r="F39" s="496">
        <f>SUM(F40:G43)</f>
        <v>136.3123</v>
      </c>
      <c r="G39" s="483"/>
      <c r="H39" s="246"/>
      <c r="I39" s="247"/>
      <c r="J39" s="114"/>
      <c r="K39" s="114"/>
      <c r="N39" s="108"/>
    </row>
    <row r="40" spans="1:14" s="74" customFormat="1" ht="15">
      <c r="A40" s="34" t="s">
        <v>16</v>
      </c>
      <c r="B40" s="493"/>
      <c r="C40" s="494"/>
      <c r="D40" s="404"/>
      <c r="E40" s="404"/>
      <c r="F40" s="497"/>
      <c r="G40" s="497"/>
      <c r="H40" s="112"/>
      <c r="I40" s="113"/>
      <c r="J40" s="114"/>
      <c r="K40" s="114"/>
      <c r="N40" s="108"/>
    </row>
    <row r="41" spans="1:14" s="74" customFormat="1" ht="15">
      <c r="A41" s="34" t="s">
        <v>18</v>
      </c>
      <c r="B41" s="493"/>
      <c r="C41" s="494"/>
      <c r="D41" s="404"/>
      <c r="E41" s="404"/>
      <c r="F41" s="497"/>
      <c r="G41" s="497"/>
      <c r="H41" s="112"/>
      <c r="I41" s="113"/>
      <c r="J41" s="114"/>
      <c r="K41" s="114"/>
      <c r="N41" s="108"/>
    </row>
    <row r="42" spans="1:14" s="74" customFormat="1" ht="15">
      <c r="A42" s="34" t="s">
        <v>20</v>
      </c>
      <c r="B42" s="493"/>
      <c r="C42" s="494"/>
      <c r="D42" s="404"/>
      <c r="E42" s="404"/>
      <c r="F42" s="497"/>
      <c r="G42" s="497"/>
      <c r="H42" s="112"/>
      <c r="I42" s="113"/>
      <c r="J42" s="114"/>
      <c r="K42" s="114"/>
      <c r="N42" s="108"/>
    </row>
    <row r="43" spans="1:7" s="59" customFormat="1" ht="15">
      <c r="A43" s="34" t="s">
        <v>22</v>
      </c>
      <c r="B43" s="511" t="s">
        <v>188</v>
      </c>
      <c r="C43" s="512"/>
      <c r="D43" s="123"/>
      <c r="E43" s="123"/>
      <c r="F43" s="495">
        <f>E24*1%</f>
        <v>136.3123</v>
      </c>
      <c r="G43" s="495"/>
    </row>
    <row r="44" s="59" customFormat="1" ht="12.75"/>
    <row r="45" spans="1:6" s="67" customFormat="1" ht="15">
      <c r="A45" s="67" t="s">
        <v>55</v>
      </c>
      <c r="C45" s="125" t="s">
        <v>49</v>
      </c>
      <c r="F45" s="67" t="s">
        <v>90</v>
      </c>
    </row>
    <row r="46" spans="1:7" s="59" customFormat="1" ht="15">
      <c r="A46" s="67"/>
      <c r="B46" s="67"/>
      <c r="C46" s="125"/>
      <c r="D46" s="67"/>
      <c r="E46" s="67"/>
      <c r="F46" s="126" t="s">
        <v>545</v>
      </c>
      <c r="G46" s="67"/>
    </row>
    <row r="47" spans="1:10" s="59" customFormat="1" ht="15">
      <c r="A47" s="67" t="s">
        <v>50</v>
      </c>
      <c r="B47" s="67"/>
      <c r="C47" s="125"/>
      <c r="D47" s="67"/>
      <c r="E47" s="67"/>
      <c r="F47" s="67"/>
      <c r="G47" s="67"/>
      <c r="H47" s="156"/>
      <c r="I47" s="156"/>
      <c r="J47" s="156"/>
    </row>
    <row r="48" spans="1:7" s="59" customFormat="1" ht="15">
      <c r="A48" s="67"/>
      <c r="B48" s="67"/>
      <c r="C48" s="127" t="s">
        <v>51</v>
      </c>
      <c r="D48" s="67"/>
      <c r="E48" s="128"/>
      <c r="F48" s="128"/>
      <c r="G48" s="128"/>
    </row>
    <row r="49" s="59" customFormat="1" ht="12.75"/>
  </sheetData>
  <sheetProtection/>
  <mergeCells count="21">
    <mergeCell ref="A10:K10"/>
    <mergeCell ref="A1:K1"/>
    <mergeCell ref="A2:K2"/>
    <mergeCell ref="A3:K3"/>
    <mergeCell ref="A5:K5"/>
    <mergeCell ref="A9:K9"/>
    <mergeCell ref="B39:C39"/>
    <mergeCell ref="F39:G39"/>
    <mergeCell ref="A11:K11"/>
    <mergeCell ref="A32:C32"/>
    <mergeCell ref="A36:K36"/>
    <mergeCell ref="B38:C38"/>
    <mergeCell ref="F38:G38"/>
    <mergeCell ref="B43:C43"/>
    <mergeCell ref="F43:G43"/>
    <mergeCell ref="B40:C40"/>
    <mergeCell ref="B41:C41"/>
    <mergeCell ref="B42:C42"/>
    <mergeCell ref="F40:G40"/>
    <mergeCell ref="F41:G41"/>
    <mergeCell ref="F42:G42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7030A0"/>
  </sheetPr>
  <dimension ref="A1:P49"/>
  <sheetViews>
    <sheetView zoomScalePageLayoutView="0" workbookViewId="0" topLeftCell="A34">
      <selection activeCell="B44" sqref="B44:C44"/>
    </sheetView>
  </sheetViews>
  <sheetFormatPr defaultColWidth="9.140625" defaultRowHeight="15" outlineLevelCol="1"/>
  <cols>
    <col min="1" max="1" width="5.8515625" style="57" customWidth="1"/>
    <col min="2" max="2" width="47.00390625" style="57" customWidth="1"/>
    <col min="3" max="4" width="14.8515625" style="57" customWidth="1"/>
    <col min="5" max="5" width="12.57421875" style="57" customWidth="1"/>
    <col min="6" max="6" width="12.4218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332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12" s="59" customFormat="1" ht="16.5" customHeight="1">
      <c r="A7" s="59" t="s">
        <v>2</v>
      </c>
      <c r="F7" s="60" t="s">
        <v>176</v>
      </c>
      <c r="H7" s="60"/>
      <c r="L7" s="61"/>
    </row>
    <row r="8" spans="1:8" s="59" customFormat="1" ht="12.75">
      <c r="A8" s="59" t="s">
        <v>3</v>
      </c>
      <c r="F8" s="301" t="s">
        <v>264</v>
      </c>
      <c r="H8" s="60"/>
    </row>
    <row r="9" spans="1:11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336</v>
      </c>
      <c r="B13" s="64"/>
      <c r="C13" s="64"/>
      <c r="D13" s="69"/>
      <c r="E13" s="70"/>
      <c r="F13" s="70"/>
      <c r="G13" s="65">
        <f>'[2]Дубрава 6'!$G$34</f>
        <v>72556.7053</v>
      </c>
      <c r="H13" s="62"/>
      <c r="I13" s="62"/>
    </row>
    <row r="14" s="59" customFormat="1" ht="6.75" customHeight="1"/>
    <row r="15" spans="1:7" s="74" customFormat="1" ht="52.5" customHeight="1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6" s="59" customFormat="1" ht="28.5">
      <c r="A16" s="75" t="s">
        <v>14</v>
      </c>
      <c r="B16" s="41" t="s">
        <v>15</v>
      </c>
      <c r="C16" s="135">
        <f>C17+C18+C19+C20</f>
        <v>9.879999999999999</v>
      </c>
      <c r="D16" s="76">
        <v>173130.55</v>
      </c>
      <c r="E16" s="76">
        <v>180466.88</v>
      </c>
      <c r="F16" s="76">
        <f>D16</f>
        <v>173130.55</v>
      </c>
      <c r="G16" s="77">
        <f>D16-E16</f>
        <v>-7336.330000000016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60630.739170040484</v>
      </c>
      <c r="E17" s="83">
        <f>E16*I17</f>
        <v>63199.93975708503</v>
      </c>
      <c r="F17" s="83">
        <f>D17</f>
        <v>60630.739170040484</v>
      </c>
      <c r="G17" s="84">
        <f>D17-E17</f>
        <v>-2569.2005870445428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29614.436184210525</v>
      </c>
      <c r="E18" s="83">
        <f>E16*I18</f>
        <v>30869.334736842105</v>
      </c>
      <c r="F18" s="83">
        <f>D18</f>
        <v>29614.436184210525</v>
      </c>
      <c r="G18" s="84">
        <f>D18-E18</f>
        <v>-1254.898552631581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29614.436184210525</v>
      </c>
      <c r="E19" s="83">
        <f>E16*I19</f>
        <v>30869.334736842105</v>
      </c>
      <c r="F19" s="83">
        <f>D19</f>
        <v>29614.436184210525</v>
      </c>
      <c r="G19" s="84">
        <f>D19-E19</f>
        <v>-1254.898552631581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53270.93846153846</v>
      </c>
      <c r="E20" s="83">
        <f>E16*I20</f>
        <v>55528.270769230774</v>
      </c>
      <c r="F20" s="83">
        <f>D20</f>
        <v>53270.93846153846</v>
      </c>
      <c r="G20" s="84">
        <f>D20-E20</f>
        <v>-2257.3323076923116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462</v>
      </c>
      <c r="C21" s="97" t="s">
        <v>798</v>
      </c>
      <c r="D21" s="87">
        <v>37440</v>
      </c>
      <c r="E21" s="87">
        <v>35451.43</v>
      </c>
      <c r="F21" s="87">
        <v>0</v>
      </c>
      <c r="G21" s="77">
        <f aca="true" t="shared" si="0" ref="G21:G30">D21-E21</f>
        <v>1988.5699999999997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1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87">
        <v>1.86</v>
      </c>
      <c r="D24" s="87">
        <v>28529.52</v>
      </c>
      <c r="E24" s="87">
        <v>28209.17</v>
      </c>
      <c r="F24" s="87">
        <f>F39</f>
        <v>77472.0917</v>
      </c>
      <c r="G24" s="77">
        <f t="shared" si="0"/>
        <v>320.3500000000022</v>
      </c>
      <c r="H24" s="88"/>
      <c r="I24" s="88"/>
      <c r="J24" s="88"/>
      <c r="K24" s="88"/>
    </row>
    <row r="25" spans="1:11" ht="14.25">
      <c r="A25" s="41" t="s">
        <v>33</v>
      </c>
      <c r="B25" s="41" t="s">
        <v>161</v>
      </c>
      <c r="C25" s="77">
        <v>1902.11</v>
      </c>
      <c r="D25" s="77">
        <v>0</v>
      </c>
      <c r="E25" s="77">
        <v>0</v>
      </c>
      <c r="F25" s="87"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780760.5</v>
      </c>
      <c r="E26" s="77">
        <f>SUM(E27:E30)</f>
        <v>763808.14</v>
      </c>
      <c r="F26" s="77">
        <f>SUM(F27:F30)</f>
        <v>780760.5</v>
      </c>
      <c r="G26" s="77">
        <f t="shared" si="0"/>
        <v>16952.359999999986</v>
      </c>
      <c r="H26" s="98"/>
      <c r="I26" s="98"/>
      <c r="J26" s="98"/>
      <c r="K26" s="98"/>
    </row>
    <row r="27" spans="1:7" ht="15">
      <c r="A27" s="34" t="s">
        <v>37</v>
      </c>
      <c r="B27" s="34" t="s">
        <v>165</v>
      </c>
      <c r="C27" s="285">
        <v>6</v>
      </c>
      <c r="D27" s="84">
        <v>3491.88</v>
      </c>
      <c r="E27" s="84">
        <v>3420.31</v>
      </c>
      <c r="F27" s="84">
        <f>D27</f>
        <v>3491.88</v>
      </c>
      <c r="G27" s="84">
        <f t="shared" si="0"/>
        <v>71.57000000000016</v>
      </c>
    </row>
    <row r="28" spans="1:7" ht="15">
      <c r="A28" s="34" t="s">
        <v>39</v>
      </c>
      <c r="B28" s="34" t="s">
        <v>137</v>
      </c>
      <c r="C28" s="285">
        <v>57.08</v>
      </c>
      <c r="D28" s="84">
        <v>205414.36</v>
      </c>
      <c r="E28" s="84">
        <v>195911.7</v>
      </c>
      <c r="F28" s="84">
        <f>D28</f>
        <v>205414.36</v>
      </c>
      <c r="G28" s="84">
        <f t="shared" si="0"/>
        <v>9502.659999999974</v>
      </c>
    </row>
    <row r="29" spans="1:7" ht="15">
      <c r="A29" s="34" t="s">
        <v>42</v>
      </c>
      <c r="B29" s="34" t="s">
        <v>340</v>
      </c>
      <c r="C29" s="286">
        <v>0</v>
      </c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85">
        <v>2638.8</v>
      </c>
      <c r="D30" s="84">
        <v>571854.26</v>
      </c>
      <c r="E30" s="84">
        <v>564476.13</v>
      </c>
      <c r="F30" s="84">
        <f>D30</f>
        <v>571854.26</v>
      </c>
      <c r="G30" s="84">
        <f t="shared" si="0"/>
        <v>7378.130000000005</v>
      </c>
    </row>
    <row r="31" spans="1:9" s="102" customFormat="1" ht="17.25" customHeight="1" thickBot="1">
      <c r="A31" s="446" t="s">
        <v>294</v>
      </c>
      <c r="B31" s="447"/>
      <c r="C31" s="447"/>
      <c r="D31" s="448"/>
      <c r="E31" s="448"/>
      <c r="F31" s="448"/>
      <c r="G31" s="101"/>
      <c r="H31" s="101"/>
      <c r="I31" s="101"/>
    </row>
    <row r="32" spans="1:9" s="67" customFormat="1" ht="15.75" thickBot="1">
      <c r="A32" s="455" t="s">
        <v>456</v>
      </c>
      <c r="B32" s="456"/>
      <c r="C32" s="456"/>
      <c r="D32" s="65">
        <v>256033.4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415</v>
      </c>
      <c r="B34" s="64"/>
      <c r="C34" s="64"/>
      <c r="D34" s="69"/>
      <c r="E34" s="70"/>
      <c r="F34" s="70"/>
      <c r="G34" s="144">
        <f>G13+E24-F24</f>
        <v>23293.783599999995</v>
      </c>
      <c r="H34" s="62"/>
      <c r="I34" s="62"/>
    </row>
    <row r="35" spans="1:11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</row>
    <row r="36" spans="1:13" s="102" customFormat="1" ht="25.5" customHeight="1">
      <c r="A36" s="444" t="s">
        <v>44</v>
      </c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101"/>
      <c r="M36" s="101"/>
    </row>
    <row r="37" ht="23.25" customHeight="1"/>
    <row r="38" spans="1:11" ht="28.5">
      <c r="A38" s="105" t="s">
        <v>11</v>
      </c>
      <c r="B38" s="471" t="s">
        <v>45</v>
      </c>
      <c r="C38" s="484"/>
      <c r="D38" s="105" t="s">
        <v>163</v>
      </c>
      <c r="E38" s="105" t="s">
        <v>162</v>
      </c>
      <c r="F38" s="471" t="s">
        <v>46</v>
      </c>
      <c r="G38" s="484"/>
      <c r="H38" s="244"/>
      <c r="I38" s="245"/>
      <c r="J38" s="74"/>
      <c r="K38" s="74"/>
    </row>
    <row r="39" spans="1:14" s="74" customFormat="1" ht="15">
      <c r="A39" s="109" t="s">
        <v>47</v>
      </c>
      <c r="B39" s="473" t="s">
        <v>111</v>
      </c>
      <c r="C39" s="491"/>
      <c r="D39" s="110"/>
      <c r="E39" s="110"/>
      <c r="F39" s="496">
        <f>SUM(F40:G44)</f>
        <v>77472.0917</v>
      </c>
      <c r="G39" s="483"/>
      <c r="H39" s="246"/>
      <c r="I39" s="247"/>
      <c r="J39" s="114"/>
      <c r="K39" s="114"/>
      <c r="N39" s="108"/>
    </row>
    <row r="40" spans="1:14" s="114" customFormat="1" ht="15">
      <c r="A40" s="34" t="s">
        <v>16</v>
      </c>
      <c r="B40" s="462" t="s">
        <v>538</v>
      </c>
      <c r="C40" s="489"/>
      <c r="D40" s="403" t="s">
        <v>164</v>
      </c>
      <c r="E40" s="403">
        <v>1</v>
      </c>
      <c r="F40" s="525">
        <v>37020</v>
      </c>
      <c r="G40" s="526"/>
      <c r="H40" s="248"/>
      <c r="I40" s="249"/>
      <c r="J40" s="57"/>
      <c r="K40" s="57"/>
      <c r="N40" s="115"/>
    </row>
    <row r="41" spans="1:14" s="114" customFormat="1" ht="15">
      <c r="A41" s="34" t="s">
        <v>18</v>
      </c>
      <c r="B41" s="462" t="s">
        <v>567</v>
      </c>
      <c r="C41" s="489"/>
      <c r="D41" s="403" t="s">
        <v>164</v>
      </c>
      <c r="E41" s="403">
        <v>1</v>
      </c>
      <c r="F41" s="525">
        <v>4970</v>
      </c>
      <c r="G41" s="526"/>
      <c r="H41" s="40"/>
      <c r="I41" s="40"/>
      <c r="J41" s="57"/>
      <c r="K41" s="57"/>
      <c r="N41" s="115"/>
    </row>
    <row r="42" spans="1:14" s="114" customFormat="1" ht="15">
      <c r="A42" s="34" t="s">
        <v>20</v>
      </c>
      <c r="B42" s="462" t="s">
        <v>406</v>
      </c>
      <c r="C42" s="489"/>
      <c r="D42" s="403"/>
      <c r="E42" s="403"/>
      <c r="F42" s="525">
        <v>24000</v>
      </c>
      <c r="G42" s="526"/>
      <c r="H42" s="40"/>
      <c r="I42" s="40"/>
      <c r="J42" s="57"/>
      <c r="K42" s="57"/>
      <c r="N42" s="115"/>
    </row>
    <row r="43" spans="1:14" s="114" customFormat="1" ht="15">
      <c r="A43" s="34" t="s">
        <v>22</v>
      </c>
      <c r="B43" s="449" t="s">
        <v>814</v>
      </c>
      <c r="C43" s="451"/>
      <c r="D43" s="118" t="s">
        <v>391</v>
      </c>
      <c r="E43" s="118">
        <v>4</v>
      </c>
      <c r="F43" s="521">
        <v>11200</v>
      </c>
      <c r="G43" s="522"/>
      <c r="H43" s="40"/>
      <c r="I43" s="40"/>
      <c r="J43" s="57"/>
      <c r="K43" s="57"/>
      <c r="N43" s="115"/>
    </row>
    <row r="44" spans="1:7" s="59" customFormat="1" ht="15">
      <c r="A44" s="34" t="s">
        <v>24</v>
      </c>
      <c r="B44" s="511" t="s">
        <v>188</v>
      </c>
      <c r="C44" s="512"/>
      <c r="D44" s="123"/>
      <c r="E44" s="123"/>
      <c r="F44" s="495">
        <f>E24*1%</f>
        <v>282.0917</v>
      </c>
      <c r="G44" s="495"/>
    </row>
    <row r="45" s="59" customFormat="1" ht="12.75"/>
    <row r="46" spans="1:6" s="67" customFormat="1" ht="15">
      <c r="A46" s="67" t="s">
        <v>55</v>
      </c>
      <c r="C46" s="125" t="s">
        <v>49</v>
      </c>
      <c r="F46" s="67" t="s">
        <v>90</v>
      </c>
    </row>
    <row r="47" spans="1:7" s="59" customFormat="1" ht="15">
      <c r="A47" s="67"/>
      <c r="B47" s="67"/>
      <c r="C47" s="125"/>
      <c r="D47" s="67"/>
      <c r="E47" s="67"/>
      <c r="F47" s="126" t="s">
        <v>545</v>
      </c>
      <c r="G47" s="67"/>
    </row>
    <row r="48" spans="1:10" s="59" customFormat="1" ht="15">
      <c r="A48" s="67" t="s">
        <v>50</v>
      </c>
      <c r="B48" s="67"/>
      <c r="C48" s="125"/>
      <c r="D48" s="67"/>
      <c r="E48" s="67"/>
      <c r="F48" s="67"/>
      <c r="G48" s="67"/>
      <c r="H48" s="156"/>
      <c r="I48" s="156"/>
      <c r="J48" s="156"/>
    </row>
    <row r="49" spans="1:7" s="59" customFormat="1" ht="15">
      <c r="A49" s="67"/>
      <c r="B49" s="67"/>
      <c r="C49" s="127" t="s">
        <v>51</v>
      </c>
      <c r="D49" s="67"/>
      <c r="E49" s="128"/>
      <c r="F49" s="128"/>
      <c r="G49" s="128"/>
    </row>
    <row r="50" s="59" customFormat="1" ht="12.75"/>
  </sheetData>
  <sheetProtection/>
  <mergeCells count="24">
    <mergeCell ref="B41:C41"/>
    <mergeCell ref="B42:C42"/>
    <mergeCell ref="F41:G41"/>
    <mergeCell ref="F42:G42"/>
    <mergeCell ref="B44:C44"/>
    <mergeCell ref="F44:G44"/>
    <mergeCell ref="B43:C43"/>
    <mergeCell ref="F43:G43"/>
    <mergeCell ref="A1:K1"/>
    <mergeCell ref="A2:K2"/>
    <mergeCell ref="A3:K3"/>
    <mergeCell ref="A5:K5"/>
    <mergeCell ref="A9:K9"/>
    <mergeCell ref="A10:K10"/>
    <mergeCell ref="A11:K11"/>
    <mergeCell ref="B40:C40"/>
    <mergeCell ref="A31:F31"/>
    <mergeCell ref="F40:G40"/>
    <mergeCell ref="A32:C32"/>
    <mergeCell ref="A36:K36"/>
    <mergeCell ref="B38:C38"/>
    <mergeCell ref="F38:G38"/>
    <mergeCell ref="B39:C39"/>
    <mergeCell ref="F39:G39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7030A0"/>
  </sheetPr>
  <dimension ref="A1:P50"/>
  <sheetViews>
    <sheetView zoomScalePageLayoutView="0" workbookViewId="0" topLeftCell="A32">
      <selection activeCell="A46" sqref="A46"/>
    </sheetView>
  </sheetViews>
  <sheetFormatPr defaultColWidth="9.140625" defaultRowHeight="15" outlineLevelCol="1"/>
  <cols>
    <col min="1" max="1" width="5.8515625" style="57" customWidth="1"/>
    <col min="2" max="2" width="47.00390625" style="57" customWidth="1"/>
    <col min="3" max="4" width="14.8515625" style="57" customWidth="1"/>
    <col min="5" max="5" width="12.57421875" style="57" customWidth="1"/>
    <col min="6" max="6" width="12.4218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12" s="59" customFormat="1" ht="16.5" customHeight="1">
      <c r="A7" s="59" t="s">
        <v>2</v>
      </c>
      <c r="F7" s="60" t="s">
        <v>203</v>
      </c>
      <c r="H7" s="60"/>
      <c r="L7" s="61"/>
    </row>
    <row r="8" spans="1:8" s="59" customFormat="1" ht="12.75">
      <c r="A8" s="59" t="s">
        <v>3</v>
      </c>
      <c r="F8" s="301" t="s">
        <v>265</v>
      </c>
      <c r="H8" s="60"/>
    </row>
    <row r="9" spans="1:11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457</v>
      </c>
      <c r="B13" s="64"/>
      <c r="C13" s="64"/>
      <c r="D13" s="69"/>
      <c r="E13" s="70"/>
      <c r="F13" s="70"/>
      <c r="G13" s="65">
        <f>'[2]Дубрава 7'!$G$34</f>
        <v>38693.0724</v>
      </c>
      <c r="H13" s="62"/>
      <c r="I13" s="62"/>
    </row>
    <row r="14" s="59" customFormat="1" ht="6.75" customHeight="1"/>
    <row r="15" spans="1:7" s="74" customFormat="1" ht="52.5" customHeight="1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6" s="59" customFormat="1" ht="28.5">
      <c r="A16" s="75" t="s">
        <v>14</v>
      </c>
      <c r="B16" s="41" t="s">
        <v>15</v>
      </c>
      <c r="C16" s="135">
        <f>C17+C18+C19+C20</f>
        <v>9.879999999999999</v>
      </c>
      <c r="D16" s="76">
        <v>250592.34</v>
      </c>
      <c r="E16" s="76">
        <v>258230.83</v>
      </c>
      <c r="F16" s="76">
        <f>D16</f>
        <v>250592.34</v>
      </c>
      <c r="G16" s="77">
        <f>D16-E16</f>
        <v>-7638.489999999991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87758.046194332</v>
      </c>
      <c r="E17" s="83">
        <f>E16*I17</f>
        <v>90433.06394736843</v>
      </c>
      <c r="F17" s="83">
        <f>D17</f>
        <v>87758.046194332</v>
      </c>
      <c r="G17" s="84">
        <f>D17-E17</f>
        <v>-2675.017753036431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42864.47921052632</v>
      </c>
      <c r="E18" s="83">
        <f>E16*I18</f>
        <v>44171.06302631579</v>
      </c>
      <c r="F18" s="83">
        <f>D18</f>
        <v>42864.47921052632</v>
      </c>
      <c r="G18" s="84">
        <f>D18-E18</f>
        <v>-1306.5838157894686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42864.47921052632</v>
      </c>
      <c r="E19" s="83">
        <f>E16*I19</f>
        <v>44171.06302631579</v>
      </c>
      <c r="F19" s="83">
        <f>D19</f>
        <v>42864.47921052632</v>
      </c>
      <c r="G19" s="84">
        <f>D19-E19</f>
        <v>-1306.5838157894686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77105.33538461539</v>
      </c>
      <c r="E20" s="83">
        <f>E16*I20</f>
        <v>79455.64</v>
      </c>
      <c r="F20" s="83">
        <f>D20</f>
        <v>77105.33538461539</v>
      </c>
      <c r="G20" s="84">
        <f>D20-E20</f>
        <v>-2350.304615384608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462</v>
      </c>
      <c r="C21" s="97" t="s">
        <v>798</v>
      </c>
      <c r="D21" s="87">
        <v>46800</v>
      </c>
      <c r="E21" s="87">
        <v>44980.87</v>
      </c>
      <c r="F21" s="87">
        <v>0</v>
      </c>
      <c r="G21" s="77">
        <f aca="true" t="shared" si="0" ref="G21:G30">D21-E21</f>
        <v>1819.1299999999974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1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87">
        <v>3</v>
      </c>
      <c r="D24" s="87">
        <v>71805.6</v>
      </c>
      <c r="E24" s="87">
        <v>72847.97</v>
      </c>
      <c r="F24" s="87">
        <f>F39</f>
        <v>130559.4297</v>
      </c>
      <c r="G24" s="77">
        <f t="shared" si="0"/>
        <v>-1042.3699999999953</v>
      </c>
      <c r="H24" s="88"/>
      <c r="I24" s="88"/>
      <c r="J24" s="88"/>
      <c r="K24" s="88"/>
    </row>
    <row r="25" spans="1:11" ht="14.25">
      <c r="A25" s="41" t="s">
        <v>33</v>
      </c>
      <c r="B25" s="41" t="s">
        <v>161</v>
      </c>
      <c r="C25" s="77">
        <v>12.54</v>
      </c>
      <c r="D25" s="77">
        <v>0</v>
      </c>
      <c r="E25" s="77">
        <v>0</v>
      </c>
      <c r="F25" s="87">
        <f>D25</f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381634.3</v>
      </c>
      <c r="E26" s="77">
        <f>SUM(E27:E30)</f>
        <v>364678.84</v>
      </c>
      <c r="F26" s="77">
        <f>SUM(F27:F30)</f>
        <v>381634.3</v>
      </c>
      <c r="G26" s="77">
        <f t="shared" si="0"/>
        <v>16955.459999999963</v>
      </c>
      <c r="H26" s="98"/>
      <c r="I26" s="98"/>
      <c r="J26" s="98"/>
      <c r="K26" s="98"/>
    </row>
    <row r="27" spans="1:7" ht="15">
      <c r="A27" s="34" t="s">
        <v>37</v>
      </c>
      <c r="B27" s="34" t="s">
        <v>165</v>
      </c>
      <c r="C27" s="285">
        <v>6</v>
      </c>
      <c r="D27" s="84">
        <v>12585.91</v>
      </c>
      <c r="E27" s="84">
        <v>5063.27</v>
      </c>
      <c r="F27" s="84">
        <f>D27</f>
        <v>12585.91</v>
      </c>
      <c r="G27" s="84">
        <f t="shared" si="0"/>
        <v>7522.639999999999</v>
      </c>
    </row>
    <row r="28" spans="1:7" ht="15">
      <c r="A28" s="34" t="s">
        <v>39</v>
      </c>
      <c r="B28" s="34" t="s">
        <v>137</v>
      </c>
      <c r="C28" s="285">
        <v>57.08</v>
      </c>
      <c r="D28" s="84">
        <v>369048.39</v>
      </c>
      <c r="E28" s="84">
        <v>359615.57</v>
      </c>
      <c r="F28" s="84">
        <f>D28</f>
        <v>369048.39</v>
      </c>
      <c r="G28" s="84">
        <f t="shared" si="0"/>
        <v>9432.820000000007</v>
      </c>
    </row>
    <row r="29" spans="1:7" ht="15">
      <c r="A29" s="34" t="s">
        <v>42</v>
      </c>
      <c r="B29" s="34" t="s">
        <v>340</v>
      </c>
      <c r="C29" s="286">
        <v>0</v>
      </c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85">
        <v>0</v>
      </c>
      <c r="D30" s="84">
        <v>0</v>
      </c>
      <c r="E30" s="84">
        <v>0</v>
      </c>
      <c r="F30" s="84">
        <f>D30</f>
        <v>0</v>
      </c>
      <c r="G30" s="84">
        <f t="shared" si="0"/>
        <v>0</v>
      </c>
    </row>
    <row r="31" spans="1:9" s="102" customFormat="1" ht="21" customHeight="1" thickBot="1">
      <c r="A31" s="446" t="s">
        <v>294</v>
      </c>
      <c r="B31" s="447"/>
      <c r="C31" s="447"/>
      <c r="D31" s="448"/>
      <c r="E31" s="448"/>
      <c r="F31" s="448"/>
      <c r="G31" s="101"/>
      <c r="H31" s="101"/>
      <c r="I31" s="101"/>
    </row>
    <row r="32" spans="1:9" s="67" customFormat="1" ht="15.75" thickBot="1">
      <c r="A32" s="455" t="s">
        <v>413</v>
      </c>
      <c r="B32" s="456"/>
      <c r="C32" s="456"/>
      <c r="D32" s="65">
        <v>289695.88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415</v>
      </c>
      <c r="B34" s="64"/>
      <c r="C34" s="64"/>
      <c r="D34" s="69"/>
      <c r="E34" s="70"/>
      <c r="F34" s="70"/>
      <c r="G34" s="144">
        <f>G13+E24-F24</f>
        <v>-19018.387299999988</v>
      </c>
      <c r="H34" s="62"/>
      <c r="I34" s="62"/>
    </row>
    <row r="35" spans="1:11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</row>
    <row r="36" spans="1:13" s="102" customFormat="1" ht="25.5" customHeight="1">
      <c r="A36" s="444" t="s">
        <v>44</v>
      </c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101"/>
      <c r="M36" s="101"/>
    </row>
    <row r="37" ht="23.25" customHeight="1"/>
    <row r="38" spans="1:11" ht="28.5">
      <c r="A38" s="105" t="s">
        <v>11</v>
      </c>
      <c r="B38" s="471" t="s">
        <v>45</v>
      </c>
      <c r="C38" s="484"/>
      <c r="D38" s="105" t="s">
        <v>163</v>
      </c>
      <c r="E38" s="105" t="s">
        <v>162</v>
      </c>
      <c r="F38" s="471" t="s">
        <v>46</v>
      </c>
      <c r="G38" s="484"/>
      <c r="H38" s="244"/>
      <c r="I38" s="245"/>
      <c r="J38" s="74"/>
      <c r="K38" s="74"/>
    </row>
    <row r="39" spans="1:14" s="74" customFormat="1" ht="15">
      <c r="A39" s="109" t="s">
        <v>47</v>
      </c>
      <c r="B39" s="473" t="s">
        <v>111</v>
      </c>
      <c r="C39" s="491"/>
      <c r="D39" s="110"/>
      <c r="E39" s="110"/>
      <c r="F39" s="496">
        <f>SUM(F40:G45)</f>
        <v>130559.4297</v>
      </c>
      <c r="G39" s="483"/>
      <c r="H39" s="246"/>
      <c r="I39" s="247"/>
      <c r="J39" s="114"/>
      <c r="K39" s="114"/>
      <c r="N39" s="108"/>
    </row>
    <row r="40" spans="1:14" s="114" customFormat="1" ht="15">
      <c r="A40" s="34" t="s">
        <v>16</v>
      </c>
      <c r="B40" s="462" t="s">
        <v>655</v>
      </c>
      <c r="C40" s="498"/>
      <c r="D40" s="403" t="s">
        <v>217</v>
      </c>
      <c r="E40" s="406">
        <v>0.01</v>
      </c>
      <c r="F40" s="497">
        <v>8630.95</v>
      </c>
      <c r="G40" s="497"/>
      <c r="H40" s="248"/>
      <c r="I40" s="249"/>
      <c r="J40" s="57"/>
      <c r="K40" s="57"/>
      <c r="N40" s="115"/>
    </row>
    <row r="41" spans="1:14" s="114" customFormat="1" ht="15">
      <c r="A41" s="34" t="s">
        <v>18</v>
      </c>
      <c r="B41" s="462" t="s">
        <v>168</v>
      </c>
      <c r="C41" s="498"/>
      <c r="D41" s="403"/>
      <c r="E41" s="406"/>
      <c r="F41" s="497">
        <v>18000</v>
      </c>
      <c r="G41" s="497"/>
      <c r="H41" s="40"/>
      <c r="I41" s="40"/>
      <c r="J41" s="57"/>
      <c r="K41" s="57"/>
      <c r="N41" s="115"/>
    </row>
    <row r="42" spans="1:14" s="114" customFormat="1" ht="15">
      <c r="A42" s="34" t="s">
        <v>20</v>
      </c>
      <c r="B42" s="462" t="s">
        <v>406</v>
      </c>
      <c r="C42" s="498"/>
      <c r="D42" s="403"/>
      <c r="E42" s="406"/>
      <c r="F42" s="497">
        <v>12000</v>
      </c>
      <c r="G42" s="497"/>
      <c r="H42" s="40"/>
      <c r="I42" s="40"/>
      <c r="J42" s="57"/>
      <c r="K42" s="57"/>
      <c r="N42" s="115"/>
    </row>
    <row r="43" spans="1:14" s="114" customFormat="1" ht="15">
      <c r="A43" s="34" t="s">
        <v>22</v>
      </c>
      <c r="B43" s="462" t="s">
        <v>404</v>
      </c>
      <c r="C43" s="498"/>
      <c r="D43" s="403" t="s">
        <v>391</v>
      </c>
      <c r="E43" s="406">
        <v>4</v>
      </c>
      <c r="F43" s="497">
        <v>80000</v>
      </c>
      <c r="G43" s="497"/>
      <c r="H43" s="40"/>
      <c r="I43" s="40"/>
      <c r="J43" s="57"/>
      <c r="K43" s="57"/>
      <c r="N43" s="115"/>
    </row>
    <row r="44" spans="1:14" s="114" customFormat="1" ht="15">
      <c r="A44" s="34" t="s">
        <v>24</v>
      </c>
      <c r="B44" s="449" t="s">
        <v>814</v>
      </c>
      <c r="C44" s="451"/>
      <c r="D44" s="118" t="s">
        <v>391</v>
      </c>
      <c r="E44" s="152">
        <v>4</v>
      </c>
      <c r="F44" s="495">
        <v>11200</v>
      </c>
      <c r="G44" s="495"/>
      <c r="H44" s="40"/>
      <c r="I44" s="40"/>
      <c r="J44" s="57"/>
      <c r="K44" s="57"/>
      <c r="N44" s="115"/>
    </row>
    <row r="45" spans="1:7" s="59" customFormat="1" ht="15">
      <c r="A45" s="34" t="s">
        <v>103</v>
      </c>
      <c r="B45" s="511" t="s">
        <v>188</v>
      </c>
      <c r="C45" s="512"/>
      <c r="D45" s="123"/>
      <c r="E45" s="123"/>
      <c r="F45" s="495">
        <f>E24*1%</f>
        <v>728.4797</v>
      </c>
      <c r="G45" s="495"/>
    </row>
    <row r="46" s="59" customFormat="1" ht="12.75"/>
    <row r="47" spans="1:6" s="67" customFormat="1" ht="15">
      <c r="A47" s="67" t="s">
        <v>55</v>
      </c>
      <c r="C47" s="125" t="s">
        <v>49</v>
      </c>
      <c r="F47" s="67" t="s">
        <v>90</v>
      </c>
    </row>
    <row r="48" spans="1:7" s="59" customFormat="1" ht="15">
      <c r="A48" s="67"/>
      <c r="B48" s="67"/>
      <c r="C48" s="125"/>
      <c r="D48" s="67"/>
      <c r="E48" s="67"/>
      <c r="F48" s="126" t="s">
        <v>545</v>
      </c>
      <c r="G48" s="67"/>
    </row>
    <row r="49" spans="1:10" s="59" customFormat="1" ht="15">
      <c r="A49" s="67" t="s">
        <v>50</v>
      </c>
      <c r="B49" s="67"/>
      <c r="C49" s="125"/>
      <c r="D49" s="67"/>
      <c r="E49" s="67"/>
      <c r="F49" s="67"/>
      <c r="G49" s="67"/>
      <c r="H49" s="156"/>
      <c r="I49" s="156"/>
      <c r="J49" s="156"/>
    </row>
    <row r="50" spans="1:7" s="59" customFormat="1" ht="15">
      <c r="A50" s="67"/>
      <c r="B50" s="67"/>
      <c r="C50" s="127" t="s">
        <v>51</v>
      </c>
      <c r="D50" s="67"/>
      <c r="E50" s="128"/>
      <c r="F50" s="128"/>
      <c r="G50" s="128"/>
    </row>
    <row r="51" s="59" customFormat="1" ht="12.75"/>
  </sheetData>
  <sheetProtection/>
  <mergeCells count="26">
    <mergeCell ref="F41:G41"/>
    <mergeCell ref="F43:G43"/>
    <mergeCell ref="B41:C41"/>
    <mergeCell ref="B43:C43"/>
    <mergeCell ref="B44:C44"/>
    <mergeCell ref="F44:G44"/>
    <mergeCell ref="A36:K36"/>
    <mergeCell ref="B38:C38"/>
    <mergeCell ref="F38:G38"/>
    <mergeCell ref="A31:F31"/>
    <mergeCell ref="B45:C45"/>
    <mergeCell ref="F45:G45"/>
    <mergeCell ref="B39:C39"/>
    <mergeCell ref="F39:G39"/>
    <mergeCell ref="B40:C40"/>
    <mergeCell ref="F40:G40"/>
    <mergeCell ref="B42:C42"/>
    <mergeCell ref="F42:G42"/>
    <mergeCell ref="A1:K1"/>
    <mergeCell ref="A2:K2"/>
    <mergeCell ref="A3:K3"/>
    <mergeCell ref="A5:K5"/>
    <mergeCell ref="A9:K9"/>
    <mergeCell ref="A10:K10"/>
    <mergeCell ref="A11:K11"/>
    <mergeCell ref="A32:C32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FF00"/>
  </sheetPr>
  <dimension ref="A1:P55"/>
  <sheetViews>
    <sheetView zoomScalePageLayoutView="0" workbookViewId="0" topLeftCell="A38">
      <selection activeCell="F48" sqref="F48:G48"/>
    </sheetView>
  </sheetViews>
  <sheetFormatPr defaultColWidth="9.140625" defaultRowHeight="15" outlineLevelCol="1"/>
  <cols>
    <col min="1" max="1" width="5.8515625" style="57" customWidth="1"/>
    <col min="2" max="2" width="48.28125" style="57" customWidth="1"/>
    <col min="3" max="4" width="14.8515625" style="57" customWidth="1"/>
    <col min="5" max="5" width="13.7109375" style="57" customWidth="1"/>
    <col min="6" max="6" width="14.71093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2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250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13" s="59" customFormat="1" ht="16.5" customHeight="1">
      <c r="A7" s="59" t="s">
        <v>2</v>
      </c>
      <c r="F7" s="60" t="s">
        <v>177</v>
      </c>
      <c r="H7" s="60"/>
      <c r="L7" s="251"/>
      <c r="M7" s="251"/>
    </row>
    <row r="8" spans="1:12" s="59" customFormat="1" ht="12.75">
      <c r="A8" s="59" t="s">
        <v>3</v>
      </c>
      <c r="F8" s="301" t="s">
        <v>458</v>
      </c>
      <c r="H8" s="60"/>
      <c r="J8" s="61">
        <f>110.8-4.5</f>
        <v>106.3</v>
      </c>
      <c r="K8" s="59">
        <f>2014.6-4.5-106.3</f>
        <v>1903.8</v>
      </c>
      <c r="L8" s="59">
        <f>J8+K8</f>
        <v>2010.1</v>
      </c>
    </row>
    <row r="9" spans="2:10" s="59" customFormat="1" ht="15">
      <c r="B9" s="67" t="s">
        <v>507</v>
      </c>
      <c r="F9" s="301" t="s">
        <v>529</v>
      </c>
      <c r="H9" s="60"/>
      <c r="J9" s="61"/>
    </row>
    <row r="10" spans="1:11" s="59" customFormat="1" ht="12.7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11" s="59" customFormat="1" ht="12.7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336</v>
      </c>
      <c r="B14" s="64"/>
      <c r="C14" s="64"/>
      <c r="D14" s="69"/>
      <c r="E14" s="70"/>
      <c r="F14" s="70"/>
      <c r="G14" s="65">
        <f>'[2]Дубрава 9'!$G$33</f>
        <v>110124.88900000001</v>
      </c>
      <c r="H14" s="62"/>
      <c r="I14" s="62"/>
    </row>
    <row r="15" s="59" customFormat="1" ht="6.75" customHeight="1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</row>
    <row r="17" spans="1:16" s="59" customFormat="1" ht="14.25">
      <c r="A17" s="75" t="s">
        <v>14</v>
      </c>
      <c r="B17" s="41" t="s">
        <v>15</v>
      </c>
      <c r="C17" s="135">
        <f>C18+C19+C20+C21</f>
        <v>9.879999999999999</v>
      </c>
      <c r="D17" s="76">
        <v>239041.98</v>
      </c>
      <c r="E17" s="76">
        <v>248894.08</v>
      </c>
      <c r="F17" s="76">
        <f>D17</f>
        <v>239041.98</v>
      </c>
      <c r="G17" s="77">
        <f>D17-E17</f>
        <v>-9852.099999999977</v>
      </c>
      <c r="H17" s="78">
        <f>C17</f>
        <v>9.879999999999999</v>
      </c>
      <c r="I17" s="79"/>
      <c r="J17" s="79"/>
      <c r="K17" s="79"/>
      <c r="O17" s="78"/>
      <c r="P17" s="80"/>
    </row>
    <row r="18" spans="1:9" s="59" customFormat="1" ht="15">
      <c r="A18" s="81" t="s">
        <v>16</v>
      </c>
      <c r="B18" s="34" t="s">
        <v>17</v>
      </c>
      <c r="C18" s="99">
        <v>3.46</v>
      </c>
      <c r="D18" s="83">
        <f>D17*I18</f>
        <v>83713.08206477734</v>
      </c>
      <c r="E18" s="83">
        <f>E17*I18</f>
        <v>87163.31141700405</v>
      </c>
      <c r="F18" s="83">
        <f>D18</f>
        <v>83713.08206477734</v>
      </c>
      <c r="G18" s="84">
        <f>D18-E18</f>
        <v>-3450.2293522267137</v>
      </c>
      <c r="H18" s="78">
        <f>C18</f>
        <v>3.46</v>
      </c>
      <c r="I18" s="59">
        <f>H18/H17</f>
        <v>0.3502024291497976</v>
      </c>
    </row>
    <row r="19" spans="1:9" s="59" customFormat="1" ht="15">
      <c r="A19" s="81" t="s">
        <v>18</v>
      </c>
      <c r="B19" s="34" t="s">
        <v>19</v>
      </c>
      <c r="C19" s="99">
        <v>1.69</v>
      </c>
      <c r="D19" s="83">
        <f>D17*I19</f>
        <v>40888.759736842105</v>
      </c>
      <c r="E19" s="83">
        <f>E17*I19</f>
        <v>42573.987368421054</v>
      </c>
      <c r="F19" s="83">
        <f>D19</f>
        <v>40888.759736842105</v>
      </c>
      <c r="G19" s="84">
        <f>D19-E19</f>
        <v>-1685.2276315789495</v>
      </c>
      <c r="H19" s="78">
        <f>C19</f>
        <v>1.69</v>
      </c>
      <c r="I19" s="59">
        <f>H19/H17</f>
        <v>0.17105263157894737</v>
      </c>
    </row>
    <row r="20" spans="1:9" s="59" customFormat="1" ht="15">
      <c r="A20" s="81" t="s">
        <v>20</v>
      </c>
      <c r="B20" s="34" t="s">
        <v>21</v>
      </c>
      <c r="C20" s="99">
        <v>1.69</v>
      </c>
      <c r="D20" s="83">
        <f>D17*I20</f>
        <v>40888.759736842105</v>
      </c>
      <c r="E20" s="83">
        <f>E17*I20</f>
        <v>42573.987368421054</v>
      </c>
      <c r="F20" s="83">
        <f>D20</f>
        <v>40888.759736842105</v>
      </c>
      <c r="G20" s="84">
        <f>D20-E20</f>
        <v>-1685.2276315789495</v>
      </c>
      <c r="H20" s="78">
        <f>C20</f>
        <v>1.69</v>
      </c>
      <c r="I20" s="59">
        <f>H20/H17</f>
        <v>0.17105263157894737</v>
      </c>
    </row>
    <row r="21" spans="1:9" s="59" customFormat="1" ht="15">
      <c r="A21" s="81" t="s">
        <v>22</v>
      </c>
      <c r="B21" s="34" t="s">
        <v>23</v>
      </c>
      <c r="C21" s="99">
        <v>3.04</v>
      </c>
      <c r="D21" s="83">
        <f>D17*I21</f>
        <v>73551.37846153846</v>
      </c>
      <c r="E21" s="83">
        <f>E17*I21</f>
        <v>76582.79384615384</v>
      </c>
      <c r="F21" s="83">
        <f>D21</f>
        <v>73551.37846153846</v>
      </c>
      <c r="G21" s="84">
        <f>D21-E21</f>
        <v>-3031.4153846153786</v>
      </c>
      <c r="H21" s="78">
        <f>C21</f>
        <v>3.04</v>
      </c>
      <c r="I21" s="59">
        <f>H21/H17</f>
        <v>0.3076923076923077</v>
      </c>
    </row>
    <row r="22" spans="1:11" s="89" customFormat="1" ht="14.25">
      <c r="A22" s="86" t="s">
        <v>25</v>
      </c>
      <c r="B22" s="86" t="s">
        <v>462</v>
      </c>
      <c r="C22" s="97" t="s">
        <v>798</v>
      </c>
      <c r="D22" s="87">
        <v>44459.91</v>
      </c>
      <c r="E22" s="87">
        <v>39673.08</v>
      </c>
      <c r="F22" s="87">
        <v>0</v>
      </c>
      <c r="G22" s="77">
        <f aca="true" t="shared" si="0" ref="G22:G31">D22-E22</f>
        <v>4786.830000000002</v>
      </c>
      <c r="H22" s="88"/>
      <c r="I22" s="88"/>
      <c r="J22" s="88"/>
      <c r="K22" s="88"/>
    </row>
    <row r="23" spans="1:11" s="89" customFormat="1" ht="14.25">
      <c r="A23" s="86" t="s">
        <v>27</v>
      </c>
      <c r="B23" s="86" t="s">
        <v>28</v>
      </c>
      <c r="C23" s="97">
        <v>0</v>
      </c>
      <c r="D23" s="87">
        <v>0</v>
      </c>
      <c r="E23" s="87">
        <v>0</v>
      </c>
      <c r="F23" s="87">
        <f>D23</f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29</v>
      </c>
      <c r="B24" s="86" t="s">
        <v>30</v>
      </c>
      <c r="C24" s="141">
        <v>0</v>
      </c>
      <c r="D24" s="87">
        <v>0</v>
      </c>
      <c r="E24" s="87">
        <v>0</v>
      </c>
      <c r="F24" s="87">
        <v>0</v>
      </c>
      <c r="G24" s="77">
        <f t="shared" si="0"/>
        <v>0</v>
      </c>
      <c r="H24" s="88"/>
      <c r="I24" s="88"/>
      <c r="J24" s="88"/>
      <c r="K24" s="88"/>
    </row>
    <row r="25" spans="1:11" s="89" customFormat="1" ht="14.25">
      <c r="A25" s="86" t="s">
        <v>31</v>
      </c>
      <c r="B25" s="86" t="s">
        <v>116</v>
      </c>
      <c r="C25" s="87">
        <v>1.86</v>
      </c>
      <c r="D25" s="87">
        <v>42492.84</v>
      </c>
      <c r="E25" s="87">
        <v>42791.61</v>
      </c>
      <c r="F25" s="87">
        <f>F42</f>
        <v>54130.5061</v>
      </c>
      <c r="G25" s="77">
        <f t="shared" si="0"/>
        <v>-298.7700000000041</v>
      </c>
      <c r="H25" s="88"/>
      <c r="I25" s="88"/>
      <c r="J25" s="88"/>
      <c r="K25" s="88"/>
    </row>
    <row r="26" spans="1:11" ht="14.25">
      <c r="A26" s="41" t="s">
        <v>33</v>
      </c>
      <c r="B26" s="41" t="s">
        <v>161</v>
      </c>
      <c r="C26" s="77">
        <v>0</v>
      </c>
      <c r="D26" s="77">
        <v>0</v>
      </c>
      <c r="E26" s="77">
        <v>0</v>
      </c>
      <c r="F26" s="87">
        <v>0</v>
      </c>
      <c r="G26" s="77">
        <f t="shared" si="0"/>
        <v>0</v>
      </c>
      <c r="H26" s="98"/>
      <c r="I26" s="98"/>
      <c r="J26" s="98"/>
      <c r="K26" s="98"/>
    </row>
    <row r="27" spans="1:11" ht="14.25">
      <c r="A27" s="41" t="s">
        <v>35</v>
      </c>
      <c r="B27" s="41" t="s">
        <v>36</v>
      </c>
      <c r="C27" s="77"/>
      <c r="D27" s="77">
        <f>SUM(D28:D31)</f>
        <v>1079595.46</v>
      </c>
      <c r="E27" s="77">
        <f>SUM(E28:E31)</f>
        <v>1025816.98</v>
      </c>
      <c r="F27" s="77">
        <f>SUM(F28:F31)</f>
        <v>1079595.46</v>
      </c>
      <c r="G27" s="77">
        <f t="shared" si="0"/>
        <v>53778.47999999998</v>
      </c>
      <c r="H27" s="98"/>
      <c r="I27" s="98"/>
      <c r="J27" s="98"/>
      <c r="K27" s="98"/>
    </row>
    <row r="28" spans="1:7" ht="15">
      <c r="A28" s="34" t="s">
        <v>37</v>
      </c>
      <c r="B28" s="34" t="s">
        <v>165</v>
      </c>
      <c r="C28" s="285">
        <v>6</v>
      </c>
      <c r="D28" s="84">
        <v>6071.47</v>
      </c>
      <c r="E28" s="84">
        <v>6265.77</v>
      </c>
      <c r="F28" s="84">
        <f>D28</f>
        <v>6071.47</v>
      </c>
      <c r="G28" s="84">
        <f t="shared" si="0"/>
        <v>-194.30000000000018</v>
      </c>
    </row>
    <row r="29" spans="1:7" ht="15">
      <c r="A29" s="34" t="s">
        <v>39</v>
      </c>
      <c r="B29" s="34" t="s">
        <v>137</v>
      </c>
      <c r="C29" s="285">
        <v>57.08</v>
      </c>
      <c r="D29" s="84">
        <v>243601.12</v>
      </c>
      <c r="E29" s="84">
        <v>205054.97</v>
      </c>
      <c r="F29" s="84">
        <f>D29</f>
        <v>243601.12</v>
      </c>
      <c r="G29" s="84">
        <f t="shared" si="0"/>
        <v>38546.149999999994</v>
      </c>
    </row>
    <row r="30" spans="1:7" ht="15">
      <c r="A30" s="34" t="s">
        <v>42</v>
      </c>
      <c r="B30" s="34" t="s">
        <v>340</v>
      </c>
      <c r="C30" s="286">
        <v>0</v>
      </c>
      <c r="D30" s="84">
        <v>0</v>
      </c>
      <c r="E30" s="84">
        <v>0</v>
      </c>
      <c r="F30" s="84">
        <f>D30</f>
        <v>0</v>
      </c>
      <c r="G30" s="84">
        <f t="shared" si="0"/>
        <v>0</v>
      </c>
    </row>
    <row r="31" spans="1:7" ht="15">
      <c r="A31" s="34" t="s">
        <v>41</v>
      </c>
      <c r="B31" s="34" t="s">
        <v>43</v>
      </c>
      <c r="C31" s="285">
        <v>2638.8</v>
      </c>
      <c r="D31" s="84">
        <v>829922.87</v>
      </c>
      <c r="E31" s="84">
        <v>814496.24</v>
      </c>
      <c r="F31" s="84">
        <f>D31</f>
        <v>829922.87</v>
      </c>
      <c r="G31" s="84">
        <f t="shared" si="0"/>
        <v>15426.630000000005</v>
      </c>
    </row>
    <row r="32" spans="1:9" s="102" customFormat="1" ht="7.5" customHeight="1" thickBot="1">
      <c r="A32" s="100"/>
      <c r="B32" s="100"/>
      <c r="C32" s="100"/>
      <c r="D32" s="101"/>
      <c r="E32" s="101"/>
      <c r="F32" s="101"/>
      <c r="G32" s="101"/>
      <c r="H32" s="101"/>
      <c r="I32" s="101"/>
    </row>
    <row r="33" spans="1:9" s="67" customFormat="1" ht="15.75" thickBot="1">
      <c r="A33" s="455" t="s">
        <v>413</v>
      </c>
      <c r="B33" s="456"/>
      <c r="C33" s="456"/>
      <c r="D33" s="65">
        <v>1048671.93</v>
      </c>
      <c r="E33" s="66"/>
      <c r="F33" s="66"/>
      <c r="G33" s="66"/>
      <c r="H33" s="62"/>
      <c r="I33" s="62"/>
    </row>
    <row r="34" spans="1:9" s="67" customFormat="1" ht="15.75" thickBot="1">
      <c r="A34" s="63" t="s">
        <v>415</v>
      </c>
      <c r="B34" s="64"/>
      <c r="C34" s="64"/>
      <c r="D34" s="69"/>
      <c r="E34" s="70"/>
      <c r="F34" s="70"/>
      <c r="G34" s="144">
        <f>G14+E25-F25</f>
        <v>98785.99290000001</v>
      </c>
      <c r="H34" s="62"/>
      <c r="I34" s="62"/>
    </row>
    <row r="35" spans="1:9" s="67" customFormat="1" ht="15">
      <c r="A35" s="516" t="s">
        <v>144</v>
      </c>
      <c r="B35" s="516"/>
      <c r="C35" s="68"/>
      <c r="D35" s="40"/>
      <c r="E35" s="66"/>
      <c r="F35" s="66"/>
      <c r="G35" s="40"/>
      <c r="H35" s="62"/>
      <c r="I35" s="62"/>
    </row>
    <row r="36" spans="1:9" s="67" customFormat="1" ht="25.5" customHeight="1">
      <c r="A36" s="599" t="s">
        <v>145</v>
      </c>
      <c r="B36" s="600"/>
      <c r="C36" s="44" t="s">
        <v>146</v>
      </c>
      <c r="D36" s="44" t="s">
        <v>147</v>
      </c>
      <c r="E36" s="45" t="s">
        <v>148</v>
      </c>
      <c r="F36" s="42" t="s">
        <v>149</v>
      </c>
      <c r="G36" s="45" t="s">
        <v>150</v>
      </c>
      <c r="H36" s="62"/>
      <c r="I36" s="62"/>
    </row>
    <row r="37" spans="1:9" s="67" customFormat="1" ht="15">
      <c r="A37" s="601"/>
      <c r="B37" s="602"/>
      <c r="C37" s="294">
        <v>106.3</v>
      </c>
      <c r="D37" s="153">
        <f>E37/12/C37</f>
        <v>15.293744120413924</v>
      </c>
      <c r="E37" s="234">
        <v>19508.7</v>
      </c>
      <c r="F37" s="234">
        <v>22110.58</v>
      </c>
      <c r="G37" s="153">
        <f>E37-F37</f>
        <v>-2601.880000000001</v>
      </c>
      <c r="H37" s="62"/>
      <c r="I37" s="62"/>
    </row>
    <row r="38" spans="1:11" s="67" customFormat="1" ht="15">
      <c r="A38" s="104"/>
      <c r="B38" s="104"/>
      <c r="C38" s="104"/>
      <c r="D38" s="104"/>
      <c r="E38" s="101"/>
      <c r="F38" s="101"/>
      <c r="G38" s="101"/>
      <c r="H38" s="101"/>
      <c r="I38" s="101"/>
      <c r="J38" s="101"/>
      <c r="K38" s="101"/>
    </row>
    <row r="39" spans="1:13" s="102" customFormat="1" ht="25.5" customHeight="1">
      <c r="A39" s="444" t="s">
        <v>44</v>
      </c>
      <c r="B39" s="444"/>
      <c r="C39" s="444"/>
      <c r="D39" s="444"/>
      <c r="E39" s="444"/>
      <c r="F39" s="444"/>
      <c r="G39" s="444"/>
      <c r="H39" s="444"/>
      <c r="I39" s="444"/>
      <c r="J39" s="444"/>
      <c r="K39" s="444"/>
      <c r="L39" s="101"/>
      <c r="M39" s="101"/>
    </row>
    <row r="41" spans="1:11" ht="28.5">
      <c r="A41" s="105" t="s">
        <v>11</v>
      </c>
      <c r="B41" s="471" t="s">
        <v>45</v>
      </c>
      <c r="C41" s="484"/>
      <c r="D41" s="105" t="s">
        <v>163</v>
      </c>
      <c r="E41" s="105" t="s">
        <v>162</v>
      </c>
      <c r="F41" s="471" t="s">
        <v>46</v>
      </c>
      <c r="G41" s="484"/>
      <c r="H41" s="244"/>
      <c r="I41" s="245"/>
      <c r="J41" s="74"/>
      <c r="K41" s="74"/>
    </row>
    <row r="42" spans="1:14" s="74" customFormat="1" ht="15">
      <c r="A42" s="109" t="s">
        <v>47</v>
      </c>
      <c r="B42" s="473" t="s">
        <v>111</v>
      </c>
      <c r="C42" s="491"/>
      <c r="D42" s="110"/>
      <c r="E42" s="110"/>
      <c r="F42" s="496">
        <f>SUM(F43:G50)</f>
        <v>54130.5061</v>
      </c>
      <c r="G42" s="483"/>
      <c r="H42" s="246"/>
      <c r="I42" s="247"/>
      <c r="J42" s="114"/>
      <c r="K42" s="114"/>
      <c r="N42" s="108"/>
    </row>
    <row r="43" spans="1:7" s="59" customFormat="1" ht="15">
      <c r="A43" s="34" t="s">
        <v>16</v>
      </c>
      <c r="B43" s="462" t="s">
        <v>656</v>
      </c>
      <c r="C43" s="489"/>
      <c r="D43" s="403" t="s">
        <v>217</v>
      </c>
      <c r="E43" s="403">
        <v>0.02</v>
      </c>
      <c r="F43" s="525">
        <v>1421.32</v>
      </c>
      <c r="G43" s="526"/>
    </row>
    <row r="44" spans="1:7" s="59" customFormat="1" ht="15">
      <c r="A44" s="34" t="s">
        <v>18</v>
      </c>
      <c r="B44" s="462" t="s">
        <v>657</v>
      </c>
      <c r="C44" s="489"/>
      <c r="D44" s="403" t="s">
        <v>216</v>
      </c>
      <c r="E44" s="403">
        <v>0.04</v>
      </c>
      <c r="F44" s="525">
        <v>7051.27</v>
      </c>
      <c r="G44" s="526"/>
    </row>
    <row r="45" spans="1:7" s="59" customFormat="1" ht="15">
      <c r="A45" s="34" t="s">
        <v>20</v>
      </c>
      <c r="B45" s="493" t="s">
        <v>406</v>
      </c>
      <c r="C45" s="494"/>
      <c r="D45" s="403"/>
      <c r="E45" s="403"/>
      <c r="F45" s="525">
        <v>12000</v>
      </c>
      <c r="G45" s="526"/>
    </row>
    <row r="46" spans="1:7" s="59" customFormat="1" ht="15">
      <c r="A46" s="34" t="s">
        <v>22</v>
      </c>
      <c r="B46" s="493" t="s">
        <v>658</v>
      </c>
      <c r="C46" s="494"/>
      <c r="D46" s="403"/>
      <c r="E46" s="403"/>
      <c r="F46" s="624">
        <v>8300</v>
      </c>
      <c r="G46" s="625"/>
    </row>
    <row r="47" spans="1:7" s="59" customFormat="1" ht="15">
      <c r="A47" s="34" t="s">
        <v>24</v>
      </c>
      <c r="B47" s="493" t="s">
        <v>659</v>
      </c>
      <c r="C47" s="494"/>
      <c r="D47" s="403" t="s">
        <v>660</v>
      </c>
      <c r="E47" s="403">
        <v>5</v>
      </c>
      <c r="F47" s="624">
        <v>3950</v>
      </c>
      <c r="G47" s="625"/>
    </row>
    <row r="48" spans="1:7" s="59" customFormat="1" ht="15">
      <c r="A48" s="34" t="s">
        <v>103</v>
      </c>
      <c r="B48" s="462" t="s">
        <v>656</v>
      </c>
      <c r="C48" s="489"/>
      <c r="D48" s="403" t="s">
        <v>164</v>
      </c>
      <c r="E48" s="403">
        <v>6</v>
      </c>
      <c r="F48" s="624">
        <v>9780</v>
      </c>
      <c r="G48" s="625"/>
    </row>
    <row r="49" spans="1:7" s="59" customFormat="1" ht="15">
      <c r="A49" s="34" t="s">
        <v>104</v>
      </c>
      <c r="B49" s="449" t="s">
        <v>814</v>
      </c>
      <c r="C49" s="451"/>
      <c r="D49" s="403" t="s">
        <v>391</v>
      </c>
      <c r="E49" s="403">
        <v>4</v>
      </c>
      <c r="F49" s="521">
        <v>11200</v>
      </c>
      <c r="G49" s="522"/>
    </row>
    <row r="50" spans="1:7" s="67" customFormat="1" ht="15">
      <c r="A50" s="34" t="s">
        <v>117</v>
      </c>
      <c r="B50" s="511" t="s">
        <v>188</v>
      </c>
      <c r="C50" s="512"/>
      <c r="D50" s="123"/>
      <c r="E50" s="123"/>
      <c r="F50" s="495">
        <f>E25*1%</f>
        <v>427.91610000000003</v>
      </c>
      <c r="G50" s="495"/>
    </row>
    <row r="51" s="59" customFormat="1" ht="12.75"/>
    <row r="52" spans="1:10" s="59" customFormat="1" ht="15">
      <c r="A52" s="67" t="s">
        <v>55</v>
      </c>
      <c r="B52" s="67"/>
      <c r="C52" s="125" t="s">
        <v>49</v>
      </c>
      <c r="D52" s="67"/>
      <c r="E52" s="67"/>
      <c r="F52" s="67" t="s">
        <v>90</v>
      </c>
      <c r="G52" s="67"/>
      <c r="H52" s="156"/>
      <c r="I52" s="156"/>
      <c r="J52" s="156"/>
    </row>
    <row r="53" spans="1:7" s="59" customFormat="1" ht="15">
      <c r="A53" s="67"/>
      <c r="B53" s="67"/>
      <c r="C53" s="125"/>
      <c r="D53" s="67"/>
      <c r="E53" s="67"/>
      <c r="F53" s="126" t="s">
        <v>545</v>
      </c>
      <c r="G53" s="67"/>
    </row>
    <row r="54" spans="1:7" s="59" customFormat="1" ht="15">
      <c r="A54" s="67" t="s">
        <v>50</v>
      </c>
      <c r="B54" s="67"/>
      <c r="C54" s="125"/>
      <c r="D54" s="67"/>
      <c r="E54" s="67"/>
      <c r="F54" s="67"/>
      <c r="G54" s="67"/>
    </row>
    <row r="55" spans="1:7" ht="15">
      <c r="A55" s="67"/>
      <c r="B55" s="67"/>
      <c r="C55" s="127" t="s">
        <v>51</v>
      </c>
      <c r="D55" s="67"/>
      <c r="E55" s="128"/>
      <c r="F55" s="128"/>
      <c r="G55" s="128"/>
    </row>
  </sheetData>
  <sheetProtection/>
  <mergeCells count="31">
    <mergeCell ref="F49:G49"/>
    <mergeCell ref="B49:C49"/>
    <mergeCell ref="F48:G48"/>
    <mergeCell ref="A12:K12"/>
    <mergeCell ref="A33:C33"/>
    <mergeCell ref="A35:B35"/>
    <mergeCell ref="A36:B37"/>
    <mergeCell ref="B46:C46"/>
    <mergeCell ref="F46:G46"/>
    <mergeCell ref="A11:K11"/>
    <mergeCell ref="A1:K1"/>
    <mergeCell ref="A2:K2"/>
    <mergeCell ref="A3:K3"/>
    <mergeCell ref="A5:K5"/>
    <mergeCell ref="A10:K10"/>
    <mergeCell ref="B47:C47"/>
    <mergeCell ref="A39:K39"/>
    <mergeCell ref="B41:C41"/>
    <mergeCell ref="F41:G41"/>
    <mergeCell ref="B42:C42"/>
    <mergeCell ref="F42:G42"/>
    <mergeCell ref="B48:C48"/>
    <mergeCell ref="B50:C50"/>
    <mergeCell ref="F50:G50"/>
    <mergeCell ref="B43:C43"/>
    <mergeCell ref="F43:G43"/>
    <mergeCell ref="B44:C44"/>
    <mergeCell ref="F44:G44"/>
    <mergeCell ref="B45:C45"/>
    <mergeCell ref="F45:G45"/>
    <mergeCell ref="F47:G47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7030A0"/>
  </sheetPr>
  <dimension ref="A1:P51"/>
  <sheetViews>
    <sheetView zoomScalePageLayoutView="0" workbookViewId="0" topLeftCell="A35">
      <selection activeCell="F44" sqref="F44:G44"/>
    </sheetView>
  </sheetViews>
  <sheetFormatPr defaultColWidth="9.140625" defaultRowHeight="15" outlineLevelCol="1"/>
  <cols>
    <col min="1" max="1" width="5.57421875" style="57" customWidth="1"/>
    <col min="2" max="2" width="47.7109375" style="57" customWidth="1"/>
    <col min="3" max="3" width="15.8515625" style="57" customWidth="1"/>
    <col min="4" max="4" width="14.8515625" style="57" customWidth="1"/>
    <col min="5" max="5" width="12.8515625" style="57" customWidth="1"/>
    <col min="6" max="6" width="13.003906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12" s="59" customFormat="1" ht="16.5" customHeight="1">
      <c r="A7" s="59" t="s">
        <v>2</v>
      </c>
      <c r="F7" s="60" t="s">
        <v>154</v>
      </c>
      <c r="H7" s="60"/>
      <c r="L7" s="61"/>
    </row>
    <row r="8" spans="1:8" s="59" customFormat="1" ht="12.75">
      <c r="A8" s="59" t="s">
        <v>3</v>
      </c>
      <c r="F8" s="301" t="s">
        <v>305</v>
      </c>
      <c r="H8" s="60"/>
    </row>
    <row r="9" spans="1:11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336</v>
      </c>
      <c r="B13" s="64"/>
      <c r="C13" s="64"/>
      <c r="D13" s="69"/>
      <c r="E13" s="70"/>
      <c r="F13" s="70"/>
      <c r="G13" s="65">
        <f>'[2]Дубрава10'!$G$34</f>
        <v>149670.4572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6" s="59" customFormat="1" ht="28.5">
      <c r="A16" s="75" t="s">
        <v>14</v>
      </c>
      <c r="B16" s="41" t="s">
        <v>15</v>
      </c>
      <c r="C16" s="135">
        <f>C17+C18+C19+C20</f>
        <v>9.879999999999999</v>
      </c>
      <c r="D16" s="76">
        <v>423082.63</v>
      </c>
      <c r="E16" s="76">
        <v>421736.51</v>
      </c>
      <c r="F16" s="76">
        <f>D16</f>
        <v>423082.63</v>
      </c>
      <c r="G16" s="77">
        <f>D16-E16</f>
        <v>1346.1199999999953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148164.56475708503</v>
      </c>
      <c r="E17" s="83">
        <f>E16*I17</f>
        <v>147693.1502631579</v>
      </c>
      <c r="F17" s="83">
        <f>D17</f>
        <v>148164.56475708503</v>
      </c>
      <c r="G17" s="84">
        <f>D17-E17</f>
        <v>471.41449392712093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72369.39723684211</v>
      </c>
      <c r="E18" s="83">
        <f>E16*I18</f>
        <v>72139.13986842106</v>
      </c>
      <c r="F18" s="83">
        <f>D18</f>
        <v>72369.39723684211</v>
      </c>
      <c r="G18" s="84">
        <f>D18-E18</f>
        <v>230.25736842105107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72369.39723684211</v>
      </c>
      <c r="E19" s="83">
        <f>E16*I19</f>
        <v>72139.13986842106</v>
      </c>
      <c r="F19" s="83">
        <f>D19</f>
        <v>72369.39723684211</v>
      </c>
      <c r="G19" s="84">
        <f>D19-E19</f>
        <v>230.25736842105107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130179.27076923077</v>
      </c>
      <c r="E20" s="83">
        <f>E16*I20</f>
        <v>129765.08000000002</v>
      </c>
      <c r="F20" s="83">
        <f>D20</f>
        <v>130179.27076923077</v>
      </c>
      <c r="G20" s="84">
        <f>D20-E20</f>
        <v>414.1907692307577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41" t="s">
        <v>267</v>
      </c>
      <c r="C22" s="97" t="s">
        <v>800</v>
      </c>
      <c r="D22" s="87">
        <v>99300</v>
      </c>
      <c r="E22" s="87">
        <v>90376.41</v>
      </c>
      <c r="F22" s="87">
        <f>D22</f>
        <v>99300</v>
      </c>
      <c r="G22" s="77">
        <f t="shared" si="0"/>
        <v>8923.589999999997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1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87">
        <v>1.86</v>
      </c>
      <c r="D24" s="87">
        <v>72961.56</v>
      </c>
      <c r="E24" s="87">
        <v>72253.27</v>
      </c>
      <c r="F24" s="87">
        <f>F39</f>
        <v>105512.3927</v>
      </c>
      <c r="G24" s="77">
        <f t="shared" si="0"/>
        <v>708.2899999999936</v>
      </c>
      <c r="H24" s="88"/>
      <c r="I24" s="88"/>
      <c r="J24" s="88"/>
      <c r="K24" s="88"/>
    </row>
    <row r="25" spans="1:11" ht="14.25">
      <c r="A25" s="41" t="s">
        <v>33</v>
      </c>
      <c r="B25" s="41" t="s">
        <v>161</v>
      </c>
      <c r="C25" s="77">
        <v>1902.11</v>
      </c>
      <c r="D25" s="77">
        <v>0</v>
      </c>
      <c r="E25" s="77">
        <v>0</v>
      </c>
      <c r="F25" s="87">
        <f>D25</f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1745727.3399999999</v>
      </c>
      <c r="E26" s="77">
        <f>SUM(E27:E30)</f>
        <v>1749269.56</v>
      </c>
      <c r="F26" s="77">
        <f>SUM(F27:F30)</f>
        <v>1745727.3399999999</v>
      </c>
      <c r="G26" s="77">
        <f t="shared" si="0"/>
        <v>-3542.220000000205</v>
      </c>
      <c r="H26" s="98"/>
      <c r="I26" s="98"/>
      <c r="J26" s="98"/>
      <c r="K26" s="98"/>
    </row>
    <row r="27" spans="1:7" ht="15">
      <c r="A27" s="34" t="s">
        <v>37</v>
      </c>
      <c r="B27" s="34" t="s">
        <v>165</v>
      </c>
      <c r="C27" s="285">
        <v>6</v>
      </c>
      <c r="D27" s="84">
        <v>33562.32</v>
      </c>
      <c r="E27" s="84">
        <v>32739.04</v>
      </c>
      <c r="F27" s="84">
        <f>D27</f>
        <v>33562.32</v>
      </c>
      <c r="G27" s="84">
        <f t="shared" si="0"/>
        <v>823.2799999999988</v>
      </c>
    </row>
    <row r="28" spans="1:7" ht="15">
      <c r="A28" s="34" t="s">
        <v>39</v>
      </c>
      <c r="B28" s="34" t="s">
        <v>137</v>
      </c>
      <c r="C28" s="285">
        <v>57.08</v>
      </c>
      <c r="D28" s="84">
        <v>589936.08</v>
      </c>
      <c r="E28" s="84">
        <v>606083.02</v>
      </c>
      <c r="F28" s="84">
        <f>D28</f>
        <v>589936.08</v>
      </c>
      <c r="G28" s="84">
        <f t="shared" si="0"/>
        <v>-16146.94000000006</v>
      </c>
    </row>
    <row r="29" spans="1:7" ht="15">
      <c r="A29" s="34" t="s">
        <v>42</v>
      </c>
      <c r="B29" s="34" t="s">
        <v>340</v>
      </c>
      <c r="C29" s="286">
        <v>0</v>
      </c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85">
        <v>2638.8</v>
      </c>
      <c r="D30" s="84">
        <v>1122228.94</v>
      </c>
      <c r="E30" s="84">
        <v>1110447.5</v>
      </c>
      <c r="F30" s="84">
        <f>D30</f>
        <v>1122228.94</v>
      </c>
      <c r="G30" s="84">
        <f t="shared" si="0"/>
        <v>11781.439999999944</v>
      </c>
    </row>
    <row r="31" spans="1:9" s="102" customFormat="1" ht="18" customHeight="1" thickBot="1">
      <c r="A31" s="446" t="s">
        <v>294</v>
      </c>
      <c r="B31" s="447"/>
      <c r="C31" s="447"/>
      <c r="D31" s="448"/>
      <c r="E31" s="448"/>
      <c r="F31" s="448"/>
      <c r="G31" s="101"/>
      <c r="H31" s="101"/>
      <c r="I31" s="101"/>
    </row>
    <row r="32" spans="1:9" s="67" customFormat="1" ht="15.75" thickBot="1">
      <c r="A32" s="455" t="s">
        <v>413</v>
      </c>
      <c r="B32" s="456"/>
      <c r="C32" s="456"/>
      <c r="D32" s="65">
        <v>1637444.12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415</v>
      </c>
      <c r="B34" s="64"/>
      <c r="C34" s="64"/>
      <c r="D34" s="69"/>
      <c r="E34" s="70"/>
      <c r="F34" s="70"/>
      <c r="G34" s="144">
        <f>G13+E24-F24</f>
        <v>116411.33450000003</v>
      </c>
      <c r="H34" s="62"/>
      <c r="I34" s="62"/>
    </row>
    <row r="35" spans="1:11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</row>
    <row r="36" spans="1:11" s="67" customFormat="1" ht="24.75" customHeight="1">
      <c r="A36" s="444" t="s">
        <v>44</v>
      </c>
      <c r="B36" s="444"/>
      <c r="C36" s="444"/>
      <c r="D36" s="444"/>
      <c r="E36" s="444"/>
      <c r="F36" s="444"/>
      <c r="G36" s="444"/>
      <c r="H36" s="444"/>
      <c r="I36" s="444"/>
      <c r="J36" s="444"/>
      <c r="K36" s="444"/>
    </row>
    <row r="37" spans="1:13" s="102" customFormat="1" ht="9.7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101"/>
      <c r="M37" s="101"/>
    </row>
    <row r="38" spans="1:11" ht="28.5" customHeight="1">
      <c r="A38" s="105" t="s">
        <v>11</v>
      </c>
      <c r="B38" s="471" t="s">
        <v>45</v>
      </c>
      <c r="C38" s="484"/>
      <c r="D38" s="105" t="s">
        <v>163</v>
      </c>
      <c r="E38" s="105" t="s">
        <v>162</v>
      </c>
      <c r="F38" s="471" t="s">
        <v>46</v>
      </c>
      <c r="G38" s="484"/>
      <c r="H38" s="244"/>
      <c r="I38" s="245"/>
      <c r="J38" s="74"/>
      <c r="K38" s="74"/>
    </row>
    <row r="39" spans="1:11" ht="15">
      <c r="A39" s="109" t="s">
        <v>47</v>
      </c>
      <c r="B39" s="473" t="s">
        <v>111</v>
      </c>
      <c r="C39" s="491"/>
      <c r="D39" s="110"/>
      <c r="E39" s="110"/>
      <c r="F39" s="496">
        <f>SUM(F40:G46)</f>
        <v>105512.3927</v>
      </c>
      <c r="G39" s="483"/>
      <c r="H39" s="246"/>
      <c r="I39" s="247"/>
      <c r="J39" s="114"/>
      <c r="K39" s="114"/>
    </row>
    <row r="40" spans="1:11" ht="15">
      <c r="A40" s="34" t="s">
        <v>16</v>
      </c>
      <c r="B40" s="462" t="s">
        <v>661</v>
      </c>
      <c r="C40" s="489"/>
      <c r="D40" s="403" t="s">
        <v>217</v>
      </c>
      <c r="E40" s="403">
        <v>0.02</v>
      </c>
      <c r="F40" s="525">
        <v>1421.32</v>
      </c>
      <c r="G40" s="526"/>
      <c r="H40" s="112"/>
      <c r="I40" s="113"/>
      <c r="J40" s="114"/>
      <c r="K40" s="114"/>
    </row>
    <row r="41" spans="1:11" ht="15">
      <c r="A41" s="252" t="s">
        <v>18</v>
      </c>
      <c r="B41" s="462" t="s">
        <v>538</v>
      </c>
      <c r="C41" s="489"/>
      <c r="D41" s="403" t="s">
        <v>164</v>
      </c>
      <c r="E41" s="403">
        <v>1</v>
      </c>
      <c r="F41" s="525">
        <v>37020</v>
      </c>
      <c r="G41" s="526"/>
      <c r="H41" s="112"/>
      <c r="I41" s="113"/>
      <c r="J41" s="114"/>
      <c r="K41" s="114"/>
    </row>
    <row r="42" spans="1:11" ht="15">
      <c r="A42" s="252" t="s">
        <v>20</v>
      </c>
      <c r="B42" s="462" t="s">
        <v>662</v>
      </c>
      <c r="C42" s="489"/>
      <c r="D42" s="403" t="s">
        <v>166</v>
      </c>
      <c r="E42" s="403">
        <v>3.4</v>
      </c>
      <c r="F42" s="525">
        <v>30568.54</v>
      </c>
      <c r="G42" s="526"/>
      <c r="H42" s="112"/>
      <c r="I42" s="113"/>
      <c r="J42" s="114"/>
      <c r="K42" s="114"/>
    </row>
    <row r="43" spans="1:11" ht="15">
      <c r="A43" s="252" t="s">
        <v>22</v>
      </c>
      <c r="B43" s="462" t="s">
        <v>663</v>
      </c>
      <c r="C43" s="489"/>
      <c r="D43" s="403"/>
      <c r="E43" s="403"/>
      <c r="F43" s="525">
        <v>12000</v>
      </c>
      <c r="G43" s="526"/>
      <c r="H43" s="112"/>
      <c r="I43" s="113"/>
      <c r="J43" s="114"/>
      <c r="K43" s="114"/>
    </row>
    <row r="44" spans="1:11" ht="15">
      <c r="A44" s="252" t="s">
        <v>24</v>
      </c>
      <c r="B44" s="462" t="s">
        <v>661</v>
      </c>
      <c r="C44" s="489"/>
      <c r="D44" s="403" t="s">
        <v>164</v>
      </c>
      <c r="E44" s="403">
        <v>4</v>
      </c>
      <c r="F44" s="624">
        <v>9780</v>
      </c>
      <c r="G44" s="625"/>
      <c r="H44" s="112"/>
      <c r="I44" s="113"/>
      <c r="J44" s="114"/>
      <c r="K44" s="114"/>
    </row>
    <row r="45" spans="1:11" ht="15">
      <c r="A45" s="252" t="s">
        <v>103</v>
      </c>
      <c r="B45" s="462" t="s">
        <v>814</v>
      </c>
      <c r="C45" s="489"/>
      <c r="D45" s="403" t="s">
        <v>391</v>
      </c>
      <c r="E45" s="403">
        <v>5</v>
      </c>
      <c r="F45" s="521">
        <v>14000</v>
      </c>
      <c r="G45" s="522"/>
      <c r="H45" s="112"/>
      <c r="I45" s="113"/>
      <c r="J45" s="114"/>
      <c r="K45" s="114"/>
    </row>
    <row r="46" spans="1:14" s="114" customFormat="1" ht="15" customHeight="1">
      <c r="A46" s="252" t="s">
        <v>104</v>
      </c>
      <c r="B46" s="511" t="s">
        <v>188</v>
      </c>
      <c r="C46" s="512"/>
      <c r="D46" s="123"/>
      <c r="E46" s="123"/>
      <c r="F46" s="495">
        <f>E24*1%</f>
        <v>722.5327000000001</v>
      </c>
      <c r="G46" s="495"/>
      <c r="H46" s="59"/>
      <c r="I46" s="59"/>
      <c r="J46" s="59"/>
      <c r="K46" s="59"/>
      <c r="N46" s="115"/>
    </row>
    <row r="47" spans="1:14" ht="15.75" customHeight="1">
      <c r="A47" s="59"/>
      <c r="B47" s="59"/>
      <c r="C47" s="59"/>
      <c r="D47" s="59"/>
      <c r="E47" s="59"/>
      <c r="F47" s="59"/>
      <c r="G47" s="59"/>
      <c r="H47" s="67"/>
      <c r="I47" s="67"/>
      <c r="J47" s="67"/>
      <c r="K47" s="67"/>
      <c r="N47" s="119"/>
    </row>
    <row r="48" spans="1:11" ht="15">
      <c r="A48" s="67" t="s">
        <v>55</v>
      </c>
      <c r="B48" s="67"/>
      <c r="C48" s="125" t="s">
        <v>49</v>
      </c>
      <c r="D48" s="67"/>
      <c r="E48" s="67"/>
      <c r="F48" s="67" t="s">
        <v>90</v>
      </c>
      <c r="G48" s="67"/>
      <c r="H48" s="59"/>
      <c r="I48" s="59"/>
      <c r="J48" s="59"/>
      <c r="K48" s="59"/>
    </row>
    <row r="49" spans="1:10" s="59" customFormat="1" ht="15">
      <c r="A49" s="67"/>
      <c r="B49" s="67"/>
      <c r="C49" s="125"/>
      <c r="D49" s="67"/>
      <c r="E49" s="67"/>
      <c r="F49" s="126" t="s">
        <v>545</v>
      </c>
      <c r="G49" s="67"/>
      <c r="H49" s="156"/>
      <c r="I49" s="156"/>
      <c r="J49" s="156"/>
    </row>
    <row r="50" spans="1:7" s="59" customFormat="1" ht="15">
      <c r="A50" s="67" t="s">
        <v>50</v>
      </c>
      <c r="B50" s="67"/>
      <c r="C50" s="125"/>
      <c r="D50" s="67"/>
      <c r="E50" s="67"/>
      <c r="F50" s="67"/>
      <c r="G50" s="67"/>
    </row>
    <row r="51" spans="1:7" s="59" customFormat="1" ht="15">
      <c r="A51" s="67"/>
      <c r="B51" s="67"/>
      <c r="C51" s="127" t="s">
        <v>51</v>
      </c>
      <c r="D51" s="67"/>
      <c r="E51" s="128"/>
      <c r="F51" s="128"/>
      <c r="G51" s="128"/>
    </row>
    <row r="52" s="59" customFormat="1" ht="12.75"/>
  </sheetData>
  <sheetProtection/>
  <mergeCells count="28">
    <mergeCell ref="B45:C45"/>
    <mergeCell ref="F45:G45"/>
    <mergeCell ref="B41:C41"/>
    <mergeCell ref="B42:C42"/>
    <mergeCell ref="B43:C43"/>
    <mergeCell ref="F41:G41"/>
    <mergeCell ref="F42:G42"/>
    <mergeCell ref="F43:G43"/>
    <mergeCell ref="B38:C38"/>
    <mergeCell ref="F38:G38"/>
    <mergeCell ref="B39:C39"/>
    <mergeCell ref="F39:G39"/>
    <mergeCell ref="A10:K10"/>
    <mergeCell ref="A1:K1"/>
    <mergeCell ref="A2:K2"/>
    <mergeCell ref="A3:K3"/>
    <mergeCell ref="A5:K5"/>
    <mergeCell ref="A9:K9"/>
    <mergeCell ref="B44:C44"/>
    <mergeCell ref="F44:G44"/>
    <mergeCell ref="B46:C46"/>
    <mergeCell ref="F46:G46"/>
    <mergeCell ref="A11:K11"/>
    <mergeCell ref="A31:F31"/>
    <mergeCell ref="B40:C40"/>
    <mergeCell ref="F40:G40"/>
    <mergeCell ref="A32:C32"/>
    <mergeCell ref="A36:K36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7030A0"/>
  </sheetPr>
  <dimension ref="A1:P51"/>
  <sheetViews>
    <sheetView zoomScalePageLayoutView="0" workbookViewId="0" topLeftCell="A34">
      <selection activeCell="D45" sqref="D45:E45"/>
    </sheetView>
  </sheetViews>
  <sheetFormatPr defaultColWidth="9.140625" defaultRowHeight="15" outlineLevelCol="1"/>
  <cols>
    <col min="1" max="1" width="5.8515625" style="57" customWidth="1"/>
    <col min="2" max="2" width="49.140625" style="57" customWidth="1"/>
    <col min="3" max="4" width="14.8515625" style="57" customWidth="1"/>
    <col min="5" max="5" width="13.421875" style="57" customWidth="1"/>
    <col min="6" max="6" width="13.71093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12" s="59" customFormat="1" ht="16.5" customHeight="1">
      <c r="A7" s="59" t="s">
        <v>2</v>
      </c>
      <c r="F7" s="60" t="s">
        <v>178</v>
      </c>
      <c r="H7" s="60"/>
      <c r="L7" s="61"/>
    </row>
    <row r="8" spans="1:8" s="59" customFormat="1" ht="12.75">
      <c r="A8" s="59" t="s">
        <v>3</v>
      </c>
      <c r="F8" s="301" t="s">
        <v>369</v>
      </c>
      <c r="H8" s="60"/>
    </row>
    <row r="9" spans="1:11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336</v>
      </c>
      <c r="B13" s="64"/>
      <c r="C13" s="64"/>
      <c r="D13" s="69"/>
      <c r="E13" s="70"/>
      <c r="F13" s="70"/>
      <c r="G13" s="65">
        <f>'[2]Дубрава 11'!$G$34</f>
        <v>216233.44459999996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6" s="59" customFormat="1" ht="14.25">
      <c r="A16" s="75" t="s">
        <v>14</v>
      </c>
      <c r="B16" s="41" t="s">
        <v>15</v>
      </c>
      <c r="C16" s="135">
        <f>C17+C18+C19+C20</f>
        <v>9.879999999999999</v>
      </c>
      <c r="D16" s="76">
        <v>465613.76</v>
      </c>
      <c r="E16" s="76">
        <v>457528.6</v>
      </c>
      <c r="F16" s="76">
        <f aca="true" t="shared" si="0" ref="F16:F22">D16</f>
        <v>465613.76</v>
      </c>
      <c r="G16" s="77">
        <f>D16-E16</f>
        <v>8085.160000000033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163059.06979757088</v>
      </c>
      <c r="E17" s="83">
        <f>E16*I17</f>
        <v>160227.6271255061</v>
      </c>
      <c r="F17" s="83">
        <f t="shared" si="0"/>
        <v>163059.06979757088</v>
      </c>
      <c r="G17" s="84">
        <f>D17-E17</f>
        <v>2831.44267206479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79644.45894736843</v>
      </c>
      <c r="E18" s="83">
        <f>E16*I18</f>
        <v>78261.47105263158</v>
      </c>
      <c r="F18" s="83">
        <f t="shared" si="0"/>
        <v>79644.45894736843</v>
      </c>
      <c r="G18" s="84">
        <f>D18-E18</f>
        <v>1382.987894736856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79644.45894736843</v>
      </c>
      <c r="E19" s="83">
        <f>E16*I19</f>
        <v>78261.47105263158</v>
      </c>
      <c r="F19" s="83">
        <f t="shared" si="0"/>
        <v>79644.45894736843</v>
      </c>
      <c r="G19" s="84">
        <f>D19-E19</f>
        <v>1382.987894736856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143265.77230769233</v>
      </c>
      <c r="E20" s="83">
        <f>E16*I20</f>
        <v>140778.03076923077</v>
      </c>
      <c r="F20" s="83">
        <f t="shared" si="0"/>
        <v>143265.77230769233</v>
      </c>
      <c r="G20" s="84">
        <f>D20-E20</f>
        <v>2487.7415384615597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267</v>
      </c>
      <c r="C21" s="97" t="s">
        <v>798</v>
      </c>
      <c r="D21" s="87">
        <v>87750</v>
      </c>
      <c r="E21" s="87">
        <v>81130.99</v>
      </c>
      <c r="F21" s="87">
        <f t="shared" si="0"/>
        <v>87750</v>
      </c>
      <c r="G21" s="77">
        <f aca="true" t="shared" si="1" ref="G21:G30">D21-E21</f>
        <v>6619.009999999995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1">
        <v>0</v>
      </c>
      <c r="D23" s="87">
        <v>0</v>
      </c>
      <c r="E23" s="87">
        <v>0</v>
      </c>
      <c r="F23" s="87"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87">
        <v>1.86</v>
      </c>
      <c r="D24" s="87">
        <v>82743</v>
      </c>
      <c r="E24" s="87">
        <v>81360.77</v>
      </c>
      <c r="F24" s="87">
        <f>F39</f>
        <v>74157.03769999999</v>
      </c>
      <c r="G24" s="77">
        <f t="shared" si="1"/>
        <v>1382.229999999996</v>
      </c>
      <c r="H24" s="88"/>
      <c r="I24" s="88"/>
      <c r="J24" s="88"/>
      <c r="K24" s="88"/>
    </row>
    <row r="25" spans="1:11" ht="14.25">
      <c r="A25" s="41" t="s">
        <v>33</v>
      </c>
      <c r="B25" s="41" t="s">
        <v>161</v>
      </c>
      <c r="C25" s="77">
        <v>12.54</v>
      </c>
      <c r="D25" s="77">
        <v>0</v>
      </c>
      <c r="E25" s="77">
        <v>0</v>
      </c>
      <c r="F25" s="87"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2335440.92</v>
      </c>
      <c r="E26" s="77">
        <f>SUM(E27:E30)</f>
        <v>2274721.34</v>
      </c>
      <c r="F26" s="77">
        <f>SUM(F27:F30)</f>
        <v>2335440.92</v>
      </c>
      <c r="G26" s="77">
        <f t="shared" si="1"/>
        <v>60719.580000000075</v>
      </c>
      <c r="H26" s="98"/>
      <c r="I26" s="98"/>
      <c r="J26" s="98"/>
      <c r="K26" s="98"/>
    </row>
    <row r="27" spans="1:7" ht="15">
      <c r="A27" s="34" t="s">
        <v>37</v>
      </c>
      <c r="B27" s="34" t="s">
        <v>165</v>
      </c>
      <c r="C27" s="285">
        <v>6</v>
      </c>
      <c r="D27" s="84">
        <v>61583.33</v>
      </c>
      <c r="E27" s="84">
        <v>60267.43</v>
      </c>
      <c r="F27" s="84">
        <f>D27</f>
        <v>61583.33</v>
      </c>
      <c r="G27" s="84">
        <f t="shared" si="1"/>
        <v>1315.9000000000015</v>
      </c>
    </row>
    <row r="28" spans="1:7" ht="15">
      <c r="A28" s="34" t="s">
        <v>39</v>
      </c>
      <c r="B28" s="34" t="s">
        <v>137</v>
      </c>
      <c r="C28" s="285">
        <v>57.08</v>
      </c>
      <c r="D28" s="84">
        <v>680621.29</v>
      </c>
      <c r="E28" s="84">
        <v>648527.53</v>
      </c>
      <c r="F28" s="84">
        <f>D28</f>
        <v>680621.29</v>
      </c>
      <c r="G28" s="84">
        <f t="shared" si="1"/>
        <v>32093.76000000001</v>
      </c>
    </row>
    <row r="29" spans="1:7" ht="15">
      <c r="A29" s="34" t="s">
        <v>42</v>
      </c>
      <c r="B29" s="34" t="s">
        <v>340</v>
      </c>
      <c r="C29" s="286">
        <v>0</v>
      </c>
      <c r="D29" s="84">
        <v>0</v>
      </c>
      <c r="E29" s="84">
        <v>0</v>
      </c>
      <c r="F29" s="84">
        <f>D29</f>
        <v>0</v>
      </c>
      <c r="G29" s="84">
        <f t="shared" si="1"/>
        <v>0</v>
      </c>
    </row>
    <row r="30" spans="1:7" ht="15">
      <c r="A30" s="34" t="s">
        <v>41</v>
      </c>
      <c r="B30" s="34" t="s">
        <v>43</v>
      </c>
      <c r="C30" s="285">
        <v>2638.8</v>
      </c>
      <c r="D30" s="84">
        <v>1593236.3</v>
      </c>
      <c r="E30" s="84">
        <v>1565926.38</v>
      </c>
      <c r="F30" s="84">
        <f>D30</f>
        <v>1593236.3</v>
      </c>
      <c r="G30" s="84">
        <f t="shared" si="1"/>
        <v>27309.92000000016</v>
      </c>
    </row>
    <row r="31" spans="1:9" s="102" customFormat="1" ht="15.75" customHeight="1" thickBot="1">
      <c r="A31" s="446" t="s">
        <v>294</v>
      </c>
      <c r="B31" s="447"/>
      <c r="C31" s="447"/>
      <c r="D31" s="448"/>
      <c r="E31" s="448"/>
      <c r="F31" s="448"/>
      <c r="G31" s="101"/>
      <c r="H31" s="101"/>
      <c r="I31" s="101"/>
    </row>
    <row r="32" spans="1:9" s="67" customFormat="1" ht="15.75" thickBot="1">
      <c r="A32" s="455" t="s">
        <v>413</v>
      </c>
      <c r="B32" s="456"/>
      <c r="C32" s="456"/>
      <c r="D32" s="65">
        <v>779225.56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415</v>
      </c>
      <c r="B34" s="64"/>
      <c r="C34" s="64"/>
      <c r="D34" s="69"/>
      <c r="E34" s="70"/>
      <c r="F34" s="70"/>
      <c r="G34" s="144">
        <f>G13+E24-F24</f>
        <v>223437.17689999996</v>
      </c>
      <c r="H34" s="62"/>
      <c r="I34" s="62"/>
    </row>
    <row r="35" spans="1:11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</row>
    <row r="36" spans="1:13" s="102" customFormat="1" ht="25.5" customHeight="1">
      <c r="A36" s="444" t="s">
        <v>44</v>
      </c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101"/>
      <c r="M36" s="101"/>
    </row>
    <row r="38" spans="1:11" ht="28.5">
      <c r="A38" s="105" t="s">
        <v>11</v>
      </c>
      <c r="B38" s="471" t="s">
        <v>45</v>
      </c>
      <c r="C38" s="484"/>
      <c r="D38" s="105" t="s">
        <v>163</v>
      </c>
      <c r="E38" s="105" t="s">
        <v>162</v>
      </c>
      <c r="F38" s="471" t="s">
        <v>46</v>
      </c>
      <c r="G38" s="484"/>
      <c r="H38" s="244"/>
      <c r="I38" s="245"/>
      <c r="J38" s="74"/>
      <c r="K38" s="74"/>
    </row>
    <row r="39" spans="1:14" s="74" customFormat="1" ht="15">
      <c r="A39" s="109" t="s">
        <v>47</v>
      </c>
      <c r="B39" s="473" t="s">
        <v>111</v>
      </c>
      <c r="C39" s="491"/>
      <c r="D39" s="110"/>
      <c r="E39" s="110"/>
      <c r="F39" s="496">
        <f>SUM(F40:G46)</f>
        <v>74157.03769999999</v>
      </c>
      <c r="G39" s="483"/>
      <c r="H39" s="246"/>
      <c r="I39" s="247"/>
      <c r="J39" s="114"/>
      <c r="K39" s="114"/>
      <c r="N39" s="108"/>
    </row>
    <row r="40" spans="1:14" s="114" customFormat="1" ht="15">
      <c r="A40" s="34" t="s">
        <v>16</v>
      </c>
      <c r="B40" s="462" t="s">
        <v>664</v>
      </c>
      <c r="C40" s="489"/>
      <c r="D40" s="403" t="s">
        <v>216</v>
      </c>
      <c r="E40" s="403">
        <v>0.03</v>
      </c>
      <c r="F40" s="525">
        <v>3502.12</v>
      </c>
      <c r="G40" s="526"/>
      <c r="H40" s="248"/>
      <c r="I40" s="249"/>
      <c r="J40" s="57"/>
      <c r="K40" s="57"/>
      <c r="N40" s="115"/>
    </row>
    <row r="41" spans="1:7" s="59" customFormat="1" ht="19.5" customHeight="1">
      <c r="A41" s="34" t="s">
        <v>18</v>
      </c>
      <c r="B41" s="462" t="s">
        <v>665</v>
      </c>
      <c r="C41" s="489"/>
      <c r="D41" s="403" t="s">
        <v>216</v>
      </c>
      <c r="E41" s="403">
        <v>0.02</v>
      </c>
      <c r="F41" s="525">
        <v>5401.31</v>
      </c>
      <c r="G41" s="526"/>
    </row>
    <row r="42" spans="1:7" s="59" customFormat="1" ht="20.25" customHeight="1">
      <c r="A42" s="34" t="s">
        <v>20</v>
      </c>
      <c r="B42" s="462" t="s">
        <v>562</v>
      </c>
      <c r="C42" s="489"/>
      <c r="D42" s="403" t="s">
        <v>166</v>
      </c>
      <c r="E42" s="403">
        <v>1200</v>
      </c>
      <c r="F42" s="525">
        <v>10440</v>
      </c>
      <c r="G42" s="526"/>
    </row>
    <row r="43" spans="1:7" s="59" customFormat="1" ht="20.25" customHeight="1">
      <c r="A43" s="34" t="s">
        <v>22</v>
      </c>
      <c r="B43" s="462" t="s">
        <v>666</v>
      </c>
      <c r="C43" s="489"/>
      <c r="D43" s="403" t="s">
        <v>164</v>
      </c>
      <c r="E43" s="403">
        <v>1</v>
      </c>
      <c r="F43" s="525">
        <v>4000</v>
      </c>
      <c r="G43" s="526"/>
    </row>
    <row r="44" spans="1:7" s="59" customFormat="1" ht="15">
      <c r="A44" s="34" t="s">
        <v>24</v>
      </c>
      <c r="B44" s="462" t="s">
        <v>667</v>
      </c>
      <c r="C44" s="489"/>
      <c r="D44" s="403"/>
      <c r="E44" s="403"/>
      <c r="F44" s="525">
        <v>36000</v>
      </c>
      <c r="G44" s="526"/>
    </row>
    <row r="45" spans="1:7" s="59" customFormat="1" ht="15">
      <c r="A45" s="34" t="s">
        <v>103</v>
      </c>
      <c r="B45" s="449" t="s">
        <v>814</v>
      </c>
      <c r="C45" s="451"/>
      <c r="D45" s="118" t="s">
        <v>391</v>
      </c>
      <c r="E45" s="118">
        <v>5</v>
      </c>
      <c r="F45" s="521">
        <v>14000</v>
      </c>
      <c r="G45" s="522"/>
    </row>
    <row r="46" spans="1:10" s="59" customFormat="1" ht="15">
      <c r="A46" s="34" t="s">
        <v>104</v>
      </c>
      <c r="B46" s="511" t="s">
        <v>188</v>
      </c>
      <c r="C46" s="512"/>
      <c r="D46" s="123"/>
      <c r="E46" s="123"/>
      <c r="F46" s="495">
        <f>E24*1%</f>
        <v>813.6077</v>
      </c>
      <c r="G46" s="495"/>
      <c r="H46" s="156"/>
      <c r="I46" s="156"/>
      <c r="J46" s="156"/>
    </row>
    <row r="47" s="59" customFormat="1" ht="12.75"/>
    <row r="48" spans="1:7" s="59" customFormat="1" ht="15">
      <c r="A48" s="67" t="s">
        <v>55</v>
      </c>
      <c r="B48" s="67"/>
      <c r="C48" s="125" t="s">
        <v>49</v>
      </c>
      <c r="D48" s="67"/>
      <c r="E48" s="67"/>
      <c r="F48" s="67" t="s">
        <v>90</v>
      </c>
      <c r="G48" s="67"/>
    </row>
    <row r="49" spans="1:7" ht="15">
      <c r="A49" s="67"/>
      <c r="B49" s="67"/>
      <c r="C49" s="125"/>
      <c r="D49" s="67"/>
      <c r="E49" s="67"/>
      <c r="F49" s="126" t="s">
        <v>545</v>
      </c>
      <c r="G49" s="67"/>
    </row>
    <row r="50" spans="1:7" ht="15">
      <c r="A50" s="67" t="s">
        <v>50</v>
      </c>
      <c r="B50" s="67"/>
      <c r="C50" s="125"/>
      <c r="D50" s="67"/>
      <c r="E50" s="67"/>
      <c r="F50" s="67"/>
      <c r="G50" s="67"/>
    </row>
    <row r="51" spans="1:7" ht="15">
      <c r="A51" s="67"/>
      <c r="B51" s="67"/>
      <c r="C51" s="127" t="s">
        <v>51</v>
      </c>
      <c r="D51" s="67"/>
      <c r="E51" s="128"/>
      <c r="F51" s="128"/>
      <c r="G51" s="128"/>
    </row>
  </sheetData>
  <sheetProtection/>
  <mergeCells count="28">
    <mergeCell ref="A10:K10"/>
    <mergeCell ref="A1:K1"/>
    <mergeCell ref="A2:K2"/>
    <mergeCell ref="A3:K3"/>
    <mergeCell ref="A5:K5"/>
    <mergeCell ref="A9:K9"/>
    <mergeCell ref="A11:K11"/>
    <mergeCell ref="A32:C32"/>
    <mergeCell ref="A36:K36"/>
    <mergeCell ref="B38:C38"/>
    <mergeCell ref="F38:G38"/>
    <mergeCell ref="A31:F31"/>
    <mergeCell ref="B39:C39"/>
    <mergeCell ref="F39:G39"/>
    <mergeCell ref="B40:C40"/>
    <mergeCell ref="F40:G40"/>
    <mergeCell ref="B41:C41"/>
    <mergeCell ref="F41:G41"/>
    <mergeCell ref="B42:C42"/>
    <mergeCell ref="F42:G42"/>
    <mergeCell ref="B46:C46"/>
    <mergeCell ref="F46:G46"/>
    <mergeCell ref="B44:C44"/>
    <mergeCell ref="F44:G44"/>
    <mergeCell ref="B43:C43"/>
    <mergeCell ref="F43:G43"/>
    <mergeCell ref="B45:C45"/>
    <mergeCell ref="F45:G45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7030A0"/>
  </sheetPr>
  <dimension ref="A1:L48"/>
  <sheetViews>
    <sheetView zoomScalePageLayoutView="0" workbookViewId="0" topLeftCell="A34">
      <selection activeCell="F43" sqref="F43:G43"/>
    </sheetView>
  </sheetViews>
  <sheetFormatPr defaultColWidth="9.140625" defaultRowHeight="15" outlineLevelCol="1"/>
  <cols>
    <col min="1" max="1" width="5.421875" style="57" customWidth="1"/>
    <col min="2" max="2" width="48.57421875" style="57" customWidth="1"/>
    <col min="3" max="3" width="15.421875" style="57" customWidth="1"/>
    <col min="4" max="4" width="14.8515625" style="57" customWidth="1"/>
    <col min="5" max="5" width="13.57421875" style="57" customWidth="1"/>
    <col min="6" max="6" width="13.00390625" style="57" customWidth="1"/>
    <col min="7" max="7" width="14.57421875" style="57" customWidth="1"/>
    <col min="8" max="9" width="11.57421875" style="57" hidden="1" customWidth="1" outlineLevel="1"/>
    <col min="10" max="10" width="9.140625" style="57" customWidth="1" collapsed="1"/>
    <col min="11" max="11" width="10.00390625" style="57" bestFit="1" customWidth="1"/>
    <col min="12" max="12" width="15.8515625" style="57" customWidth="1"/>
    <col min="13" max="16384" width="9.140625" style="57" customWidth="1"/>
  </cols>
  <sheetData>
    <row r="1" spans="1:9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</row>
    <row r="2" spans="1:9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</row>
    <row r="3" spans="1:9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</row>
    <row r="4" spans="1:9" ht="9" customHeight="1">
      <c r="A4" s="56"/>
      <c r="B4" s="56"/>
      <c r="C4" s="56"/>
      <c r="D4" s="56"/>
      <c r="E4" s="56"/>
      <c r="F4" s="56"/>
      <c r="G4" s="56"/>
      <c r="H4" s="56"/>
      <c r="I4" s="56"/>
    </row>
    <row r="5" spans="1:9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</row>
    <row r="7" spans="1:8" s="59" customFormat="1" ht="16.5" customHeight="1">
      <c r="A7" s="59" t="s">
        <v>2</v>
      </c>
      <c r="F7" s="60" t="s">
        <v>198</v>
      </c>
      <c r="H7" s="60"/>
    </row>
    <row r="8" spans="1:8" s="59" customFormat="1" ht="12.75">
      <c r="A8" s="59" t="s">
        <v>3</v>
      </c>
      <c r="F8" s="301" t="s">
        <v>306</v>
      </c>
      <c r="H8" s="60"/>
    </row>
    <row r="9" spans="1:9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</row>
    <row r="10" spans="1:9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</row>
    <row r="11" spans="1:9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6" customHeight="1" thickBot="1">
      <c r="A12" s="253"/>
      <c r="B12" s="253"/>
      <c r="C12" s="253"/>
      <c r="D12" s="40"/>
      <c r="E12" s="66"/>
      <c r="F12" s="66"/>
      <c r="G12" s="66"/>
      <c r="H12" s="62"/>
      <c r="I12" s="62"/>
    </row>
    <row r="13" spans="1:9" s="67" customFormat="1" ht="15.75" thickBot="1">
      <c r="A13" s="254" t="s">
        <v>336</v>
      </c>
      <c r="B13" s="255"/>
      <c r="C13" s="255"/>
      <c r="D13" s="256"/>
      <c r="E13" s="70"/>
      <c r="F13" s="70"/>
      <c r="G13" s="65">
        <f>'[2]Нефтебаза 1'!$G$34</f>
        <v>113131.62040000001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2" s="59" customFormat="1" ht="14.25">
      <c r="A16" s="75" t="s">
        <v>14</v>
      </c>
      <c r="B16" s="41" t="s">
        <v>15</v>
      </c>
      <c r="C16" s="135">
        <f>C17+C18+C19+C20</f>
        <v>9.879999999999999</v>
      </c>
      <c r="D16" s="76">
        <v>169242.3</v>
      </c>
      <c r="E16" s="76">
        <v>178749.97</v>
      </c>
      <c r="F16" s="76">
        <f>D16</f>
        <v>169242.3</v>
      </c>
      <c r="G16" s="77">
        <f>D16-E16</f>
        <v>-9507.670000000013</v>
      </c>
      <c r="H16" s="78">
        <f>C16</f>
        <v>9.879999999999999</v>
      </c>
      <c r="I16" s="79"/>
      <c r="K16" s="78"/>
      <c r="L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59269.06457489879</v>
      </c>
      <c r="E17" s="83">
        <f>E16*I17</f>
        <v>62598.673704453446</v>
      </c>
      <c r="F17" s="83">
        <f>D17</f>
        <v>59269.06457489879</v>
      </c>
      <c r="G17" s="84">
        <f>D17-E17</f>
        <v>-3329.6091295546576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28949.340789473685</v>
      </c>
      <c r="E18" s="83">
        <f>E16*I18</f>
        <v>30575.652763157897</v>
      </c>
      <c r="F18" s="83">
        <f>D18</f>
        <v>28949.340789473685</v>
      </c>
      <c r="G18" s="84">
        <f>D18-E18</f>
        <v>-1626.3119736842127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28949.340789473685</v>
      </c>
      <c r="E19" s="83">
        <f>E16*I19</f>
        <v>30575.652763157897</v>
      </c>
      <c r="F19" s="83">
        <f>D19</f>
        <v>28949.340789473685</v>
      </c>
      <c r="G19" s="84">
        <f>D19-E19</f>
        <v>-1626.3119736842127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52074.553846153845</v>
      </c>
      <c r="E20" s="83">
        <f>E16*I20</f>
        <v>54999.990769230775</v>
      </c>
      <c r="F20" s="83">
        <f>D20</f>
        <v>52074.553846153845</v>
      </c>
      <c r="G20" s="84">
        <f>D20-E20</f>
        <v>-2925.43692307693</v>
      </c>
      <c r="H20" s="78">
        <f>C20</f>
        <v>3.04</v>
      </c>
      <c r="I20" s="59">
        <f>H20/H16</f>
        <v>0.3076923076923077</v>
      </c>
    </row>
    <row r="21" spans="1:9" s="89" customFormat="1" ht="14.25">
      <c r="A21" s="86" t="s">
        <v>25</v>
      </c>
      <c r="B21" s="86" t="s">
        <v>462</v>
      </c>
      <c r="C21" s="97" t="s">
        <v>798</v>
      </c>
      <c r="D21" s="87">
        <v>28080</v>
      </c>
      <c r="E21" s="87">
        <v>26483.6</v>
      </c>
      <c r="F21" s="87">
        <v>0</v>
      </c>
      <c r="G21" s="77">
        <f aca="true" t="shared" si="0" ref="G21:G30">D21-E21</f>
        <v>1596.4000000000015</v>
      </c>
      <c r="H21" s="88"/>
      <c r="I21" s="88"/>
    </row>
    <row r="22" spans="1:9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  <c r="H22" s="88"/>
      <c r="I22" s="88"/>
    </row>
    <row r="23" spans="1:9" s="89" customFormat="1" ht="14.25">
      <c r="A23" s="86" t="s">
        <v>29</v>
      </c>
      <c r="B23" s="86" t="s">
        <v>30</v>
      </c>
      <c r="C23" s="141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</row>
    <row r="24" spans="1:9" s="89" customFormat="1" ht="14.25">
      <c r="A24" s="86" t="s">
        <v>31</v>
      </c>
      <c r="B24" s="86" t="s">
        <v>116</v>
      </c>
      <c r="C24" s="87">
        <v>3</v>
      </c>
      <c r="D24" s="87">
        <v>48524.4</v>
      </c>
      <c r="E24" s="87">
        <v>50384.46</v>
      </c>
      <c r="F24" s="87">
        <f>F39</f>
        <v>18243.6646</v>
      </c>
      <c r="G24" s="77">
        <f t="shared" si="0"/>
        <v>-1860.0599999999977</v>
      </c>
      <c r="H24" s="88"/>
      <c r="I24" s="88"/>
    </row>
    <row r="25" spans="1:9" ht="14.25">
      <c r="A25" s="41" t="s">
        <v>33</v>
      </c>
      <c r="B25" s="41" t="s">
        <v>161</v>
      </c>
      <c r="C25" s="77">
        <v>0</v>
      </c>
      <c r="D25" s="77">
        <v>0</v>
      </c>
      <c r="E25" s="77">
        <v>0</v>
      </c>
      <c r="F25" s="87">
        <v>0</v>
      </c>
      <c r="G25" s="77">
        <f t="shared" si="0"/>
        <v>0</v>
      </c>
      <c r="H25" s="98"/>
      <c r="I25" s="98"/>
    </row>
    <row r="26" spans="1:9" ht="14.25">
      <c r="A26" s="41" t="s">
        <v>35</v>
      </c>
      <c r="B26" s="41" t="s">
        <v>36</v>
      </c>
      <c r="C26" s="77"/>
      <c r="D26" s="77">
        <f>SUM(D27:D30)</f>
        <v>929531.18</v>
      </c>
      <c r="E26" s="77">
        <f>SUM(E27:E30)</f>
        <v>952971.55</v>
      </c>
      <c r="F26" s="77">
        <f>SUM(F27:F30)</f>
        <v>929531.18</v>
      </c>
      <c r="G26" s="77">
        <f t="shared" si="0"/>
        <v>-23440.369999999995</v>
      </c>
      <c r="H26" s="98"/>
      <c r="I26" s="98"/>
    </row>
    <row r="27" spans="1:7" ht="15">
      <c r="A27" s="34" t="s">
        <v>37</v>
      </c>
      <c r="B27" s="34" t="s">
        <v>165</v>
      </c>
      <c r="C27" s="285">
        <v>6</v>
      </c>
      <c r="D27" s="84">
        <v>7850.76</v>
      </c>
      <c r="E27" s="84">
        <v>8654.44</v>
      </c>
      <c r="F27" s="84">
        <f>D27</f>
        <v>7850.76</v>
      </c>
      <c r="G27" s="84">
        <f t="shared" si="0"/>
        <v>-803.6800000000003</v>
      </c>
    </row>
    <row r="28" spans="1:7" ht="15">
      <c r="A28" s="34" t="s">
        <v>39</v>
      </c>
      <c r="B28" s="34" t="s">
        <v>137</v>
      </c>
      <c r="C28" s="285">
        <v>57.08</v>
      </c>
      <c r="D28" s="84">
        <v>224540.13</v>
      </c>
      <c r="E28" s="84">
        <v>226074.13</v>
      </c>
      <c r="F28" s="84">
        <f>D28</f>
        <v>224540.13</v>
      </c>
      <c r="G28" s="84">
        <f t="shared" si="0"/>
        <v>-1534</v>
      </c>
    </row>
    <row r="29" spans="1:7" ht="15">
      <c r="A29" s="34" t="s">
        <v>42</v>
      </c>
      <c r="B29" s="34" t="s">
        <v>340</v>
      </c>
      <c r="C29" s="286">
        <v>0</v>
      </c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85">
        <v>2638.8</v>
      </c>
      <c r="D30" s="84">
        <v>697140.29</v>
      </c>
      <c r="E30" s="84">
        <v>718242.98</v>
      </c>
      <c r="F30" s="84">
        <f>D30</f>
        <v>697140.29</v>
      </c>
      <c r="G30" s="84">
        <f t="shared" si="0"/>
        <v>-21102.689999999944</v>
      </c>
    </row>
    <row r="31" spans="1:9" s="102" customFormat="1" ht="7.5" customHeight="1" thickBot="1">
      <c r="A31" s="100"/>
      <c r="B31" s="100"/>
      <c r="C31" s="100"/>
      <c r="D31" s="101"/>
      <c r="E31" s="101"/>
      <c r="F31" s="101"/>
      <c r="G31" s="101"/>
      <c r="H31" s="101"/>
      <c r="I31" s="101"/>
    </row>
    <row r="32" spans="1:9" s="67" customFormat="1" ht="15.75" thickBot="1">
      <c r="A32" s="455" t="s">
        <v>413</v>
      </c>
      <c r="B32" s="456"/>
      <c r="C32" s="456"/>
      <c r="D32" s="65">
        <v>341435.65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0" s="67" customFormat="1" ht="15.75" thickBot="1">
      <c r="A34" s="63" t="s">
        <v>459</v>
      </c>
      <c r="B34" s="64"/>
      <c r="C34" s="64"/>
      <c r="D34" s="69"/>
      <c r="E34" s="70"/>
      <c r="F34" s="70"/>
      <c r="G34" s="144">
        <f>G13+E24-F24</f>
        <v>145272.41580000002</v>
      </c>
      <c r="H34" s="62"/>
      <c r="I34" s="62"/>
      <c r="J34" s="145"/>
    </row>
    <row r="35" spans="1:9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</row>
    <row r="36" spans="1:9" s="102" customFormat="1" ht="29.25" customHeight="1">
      <c r="A36" s="444" t="s">
        <v>44</v>
      </c>
      <c r="B36" s="481"/>
      <c r="C36" s="481"/>
      <c r="D36" s="481"/>
      <c r="E36" s="481"/>
      <c r="F36" s="481"/>
      <c r="G36" s="481"/>
      <c r="H36" s="58"/>
      <c r="I36" s="58"/>
    </row>
    <row r="38" spans="1:9" ht="28.5">
      <c r="A38" s="105" t="s">
        <v>11</v>
      </c>
      <c r="B38" s="471" t="s">
        <v>45</v>
      </c>
      <c r="C38" s="484"/>
      <c r="D38" s="105" t="s">
        <v>163</v>
      </c>
      <c r="E38" s="105" t="s">
        <v>162</v>
      </c>
      <c r="F38" s="598" t="s">
        <v>46</v>
      </c>
      <c r="G38" s="598"/>
      <c r="H38" s="106"/>
      <c r="I38" s="107"/>
    </row>
    <row r="39" spans="1:10" s="74" customFormat="1" ht="15">
      <c r="A39" s="109" t="s">
        <v>47</v>
      </c>
      <c r="B39" s="473" t="s">
        <v>111</v>
      </c>
      <c r="C39" s="491"/>
      <c r="D39" s="110"/>
      <c r="E39" s="110"/>
      <c r="F39" s="611">
        <f>SUM(F40:G43)</f>
        <v>18243.6646</v>
      </c>
      <c r="G39" s="612"/>
      <c r="H39" s="112"/>
      <c r="I39" s="113"/>
      <c r="J39" s="108"/>
    </row>
    <row r="40" spans="1:10" s="114" customFormat="1" ht="15" customHeight="1">
      <c r="A40" s="34" t="s">
        <v>16</v>
      </c>
      <c r="B40" s="462" t="s">
        <v>668</v>
      </c>
      <c r="C40" s="498"/>
      <c r="D40" s="337" t="s">
        <v>217</v>
      </c>
      <c r="E40" s="342">
        <v>0.01</v>
      </c>
      <c r="F40" s="497">
        <v>8339.82</v>
      </c>
      <c r="G40" s="497"/>
      <c r="H40" s="40"/>
      <c r="I40" s="40"/>
      <c r="J40" s="115"/>
    </row>
    <row r="41" spans="1:10" s="114" customFormat="1" ht="15" customHeight="1">
      <c r="A41" s="34" t="s">
        <v>18</v>
      </c>
      <c r="B41" s="462" t="s">
        <v>669</v>
      </c>
      <c r="C41" s="498"/>
      <c r="D41" s="337" t="s">
        <v>660</v>
      </c>
      <c r="E41" s="342">
        <v>2</v>
      </c>
      <c r="F41" s="515">
        <v>3800</v>
      </c>
      <c r="G41" s="515"/>
      <c r="H41" s="40"/>
      <c r="I41" s="40"/>
      <c r="J41" s="115"/>
    </row>
    <row r="42" spans="1:10" s="114" customFormat="1" ht="15" customHeight="1">
      <c r="A42" s="34" t="s">
        <v>20</v>
      </c>
      <c r="B42" s="449" t="s">
        <v>814</v>
      </c>
      <c r="C42" s="641"/>
      <c r="D42" s="403" t="s">
        <v>391</v>
      </c>
      <c r="E42" s="406">
        <v>2</v>
      </c>
      <c r="F42" s="654">
        <v>5600</v>
      </c>
      <c r="G42" s="654"/>
      <c r="H42" s="40"/>
      <c r="I42" s="40"/>
      <c r="J42" s="115"/>
    </row>
    <row r="43" spans="1:10" ht="15.75" customHeight="1">
      <c r="A43" s="34" t="s">
        <v>22</v>
      </c>
      <c r="B43" s="511" t="s">
        <v>188</v>
      </c>
      <c r="C43" s="512"/>
      <c r="D43" s="123"/>
      <c r="E43" s="123"/>
      <c r="F43" s="495">
        <f>E24*1%</f>
        <v>503.8446</v>
      </c>
      <c r="G43" s="495"/>
      <c r="H43" s="59"/>
      <c r="I43" s="59"/>
      <c r="J43" s="119"/>
    </row>
    <row r="44" spans="1:9" ht="7.5" customHeight="1">
      <c r="A44" s="59"/>
      <c r="B44" s="59"/>
      <c r="C44" s="59"/>
      <c r="D44" s="59"/>
      <c r="E44" s="59"/>
      <c r="F44" s="59"/>
      <c r="G44" s="59"/>
      <c r="H44" s="59"/>
      <c r="I44" s="59"/>
    </row>
    <row r="45" spans="1:9" s="59" customFormat="1" ht="15">
      <c r="A45" s="67" t="s">
        <v>55</v>
      </c>
      <c r="B45" s="67"/>
      <c r="C45" s="125" t="s">
        <v>49</v>
      </c>
      <c r="D45" s="67"/>
      <c r="E45" s="67"/>
      <c r="F45" s="67" t="s">
        <v>90</v>
      </c>
      <c r="G45" s="67"/>
      <c r="H45" s="67"/>
      <c r="I45" s="67"/>
    </row>
    <row r="46" spans="1:7" s="59" customFormat="1" ht="15">
      <c r="A46" s="67"/>
      <c r="B46" s="67"/>
      <c r="C46" s="125"/>
      <c r="D46" s="67"/>
      <c r="E46" s="67"/>
      <c r="F46" s="126" t="s">
        <v>545</v>
      </c>
      <c r="G46" s="67"/>
    </row>
    <row r="47" spans="1:9" s="67" customFormat="1" ht="15">
      <c r="A47" s="67" t="s">
        <v>50</v>
      </c>
      <c r="C47" s="125"/>
      <c r="H47" s="156"/>
      <c r="I47" s="156"/>
    </row>
    <row r="48" spans="1:7" s="59" customFormat="1" ht="15">
      <c r="A48" s="67"/>
      <c r="B48" s="67"/>
      <c r="C48" s="127" t="s">
        <v>51</v>
      </c>
      <c r="D48" s="67"/>
      <c r="E48" s="128"/>
      <c r="F48" s="128"/>
      <c r="G48" s="128"/>
    </row>
    <row r="49" s="59" customFormat="1" ht="12.75"/>
    <row r="50" s="59" customFormat="1" ht="12.75"/>
  </sheetData>
  <sheetProtection/>
  <mergeCells count="21">
    <mergeCell ref="B42:C42"/>
    <mergeCell ref="F42:G42"/>
    <mergeCell ref="B43:C43"/>
    <mergeCell ref="F43:G43"/>
    <mergeCell ref="B39:C39"/>
    <mergeCell ref="F39:G39"/>
    <mergeCell ref="A10:I10"/>
    <mergeCell ref="A11:I11"/>
    <mergeCell ref="A32:C32"/>
    <mergeCell ref="B41:C41"/>
    <mergeCell ref="F41:G41"/>
    <mergeCell ref="B40:C40"/>
    <mergeCell ref="F40:G40"/>
    <mergeCell ref="B38:C38"/>
    <mergeCell ref="F38:G38"/>
    <mergeCell ref="A36:G36"/>
    <mergeCell ref="A1:I1"/>
    <mergeCell ref="A2:I2"/>
    <mergeCell ref="A3:I3"/>
    <mergeCell ref="A5:I5"/>
    <mergeCell ref="A9:I9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7030A0"/>
  </sheetPr>
  <dimension ref="A1:P49"/>
  <sheetViews>
    <sheetView zoomScalePageLayoutView="0" workbookViewId="0" topLeftCell="A32">
      <selection activeCell="D43" sqref="D43:E43"/>
    </sheetView>
  </sheetViews>
  <sheetFormatPr defaultColWidth="9.140625" defaultRowHeight="15" outlineLevelCol="1"/>
  <cols>
    <col min="1" max="1" width="5.421875" style="57" customWidth="1"/>
    <col min="2" max="2" width="48.57421875" style="57" customWidth="1"/>
    <col min="3" max="3" width="15.421875" style="57" customWidth="1"/>
    <col min="4" max="4" width="14.8515625" style="57" customWidth="1"/>
    <col min="5" max="5" width="13.57421875" style="57" customWidth="1"/>
    <col min="6" max="6" width="13.003906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10.7109375" style="57" bestFit="1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12" s="59" customFormat="1" ht="16.5" customHeight="1">
      <c r="A7" s="59" t="s">
        <v>2</v>
      </c>
      <c r="F7" s="60" t="s">
        <v>199</v>
      </c>
      <c r="H7" s="60"/>
      <c r="L7" s="61"/>
    </row>
    <row r="8" spans="1:8" s="59" customFormat="1" ht="12.75">
      <c r="A8" s="59" t="s">
        <v>3</v>
      </c>
      <c r="F8" s="301" t="s">
        <v>252</v>
      </c>
      <c r="H8" s="60"/>
    </row>
    <row r="9" spans="1:11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9" s="67" customFormat="1" ht="6" customHeight="1" thickBot="1">
      <c r="A12" s="253"/>
      <c r="B12" s="253"/>
      <c r="C12" s="253"/>
      <c r="D12" s="40"/>
      <c r="E12" s="66"/>
      <c r="F12" s="66"/>
      <c r="G12" s="66"/>
      <c r="H12" s="62"/>
      <c r="I12" s="62"/>
    </row>
    <row r="13" spans="1:9" s="67" customFormat="1" ht="15.75" thickBot="1">
      <c r="A13" s="254" t="s">
        <v>336</v>
      </c>
      <c r="B13" s="255"/>
      <c r="C13" s="255"/>
      <c r="D13" s="256"/>
      <c r="E13" s="70"/>
      <c r="F13" s="70"/>
      <c r="G13" s="65">
        <f>'[2]Нефтебаза 2'!$G$34</f>
        <v>-5605.280899999983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6" s="59" customFormat="1" ht="14.25">
      <c r="A16" s="75" t="s">
        <v>14</v>
      </c>
      <c r="B16" s="41" t="s">
        <v>15</v>
      </c>
      <c r="C16" s="135">
        <f>C17+C18+C19+C20</f>
        <v>9.879999999999999</v>
      </c>
      <c r="D16" s="76">
        <v>90613.61</v>
      </c>
      <c r="E16" s="76">
        <v>91418.65</v>
      </c>
      <c r="F16" s="76">
        <f aca="true" t="shared" si="0" ref="F16:F22">D16</f>
        <v>90613.61</v>
      </c>
      <c r="G16" s="77">
        <f>D16-E16</f>
        <v>-805.0399999999936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31733.106336032393</v>
      </c>
      <c r="E17" s="83">
        <f>E16*I17</f>
        <v>32015.033299595143</v>
      </c>
      <c r="F17" s="83">
        <f t="shared" si="0"/>
        <v>31733.106336032393</v>
      </c>
      <c r="G17" s="84">
        <f>D17-E17</f>
        <v>-281.92696356274973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15499.696447368422</v>
      </c>
      <c r="E18" s="83">
        <f>E16*I18</f>
        <v>15637.400657894736</v>
      </c>
      <c r="F18" s="83">
        <f t="shared" si="0"/>
        <v>15499.696447368422</v>
      </c>
      <c r="G18" s="84">
        <f>D18-E18</f>
        <v>-137.70421052631355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15499.696447368422</v>
      </c>
      <c r="E19" s="83">
        <f>E16*I19</f>
        <v>15637.400657894736</v>
      </c>
      <c r="F19" s="83">
        <f t="shared" si="0"/>
        <v>15499.696447368422</v>
      </c>
      <c r="G19" s="84">
        <f>D19-E19</f>
        <v>-137.70421052631355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27881.11076923077</v>
      </c>
      <c r="E20" s="83">
        <f>E16*I20</f>
        <v>28128.815384615384</v>
      </c>
      <c r="F20" s="83">
        <f t="shared" si="0"/>
        <v>27881.11076923077</v>
      </c>
      <c r="G20" s="84">
        <f>D20-E20</f>
        <v>-247.70461538461313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462</v>
      </c>
      <c r="C21" s="97" t="s">
        <v>798</v>
      </c>
      <c r="D21" s="87">
        <v>18720</v>
      </c>
      <c r="E21" s="87">
        <v>27699.09</v>
      </c>
      <c r="F21" s="87">
        <f t="shared" si="0"/>
        <v>18720</v>
      </c>
      <c r="G21" s="77">
        <f aca="true" t="shared" si="1" ref="G21:G30">D21-E21</f>
        <v>-8979.09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1">
        <v>0</v>
      </c>
      <c r="D23" s="87">
        <v>0</v>
      </c>
      <c r="E23" s="87">
        <v>0</v>
      </c>
      <c r="F23" s="87">
        <v>0</v>
      </c>
      <c r="G23" s="77">
        <f t="shared" si="1"/>
        <v>0</v>
      </c>
      <c r="H23" s="88"/>
      <c r="I23" s="88"/>
      <c r="J23" s="88"/>
      <c r="K23" s="88"/>
    </row>
    <row r="24" spans="1:14" s="89" customFormat="1" ht="14.25">
      <c r="A24" s="86" t="s">
        <v>31</v>
      </c>
      <c r="B24" s="86" t="s">
        <v>116</v>
      </c>
      <c r="C24" s="87">
        <v>3</v>
      </c>
      <c r="D24" s="87">
        <v>22313.16</v>
      </c>
      <c r="E24" s="87">
        <v>22849.43</v>
      </c>
      <c r="F24" s="87">
        <f>F39</f>
        <v>66828.4943</v>
      </c>
      <c r="G24" s="77">
        <f t="shared" si="1"/>
        <v>-536.2700000000004</v>
      </c>
      <c r="H24" s="88"/>
      <c r="I24" s="88"/>
      <c r="J24" s="88"/>
      <c r="K24" s="88"/>
      <c r="N24" s="257"/>
    </row>
    <row r="25" spans="1:11" ht="14.25">
      <c r="A25" s="41" t="s">
        <v>33</v>
      </c>
      <c r="B25" s="41" t="s">
        <v>161</v>
      </c>
      <c r="C25" s="77" t="s">
        <v>297</v>
      </c>
      <c r="D25" s="77"/>
      <c r="E25" s="77"/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100390.34000000001</v>
      </c>
      <c r="E26" s="77">
        <f>SUM(E27:E30)</f>
        <v>113873.23</v>
      </c>
      <c r="F26" s="77">
        <f>SUM(F27:F30)</f>
        <v>100390.34000000001</v>
      </c>
      <c r="G26" s="77">
        <f t="shared" si="1"/>
        <v>-13482.889999999985</v>
      </c>
      <c r="H26" s="98"/>
      <c r="I26" s="98"/>
      <c r="J26" s="98"/>
      <c r="K26" s="98"/>
    </row>
    <row r="27" spans="1:7" ht="15">
      <c r="A27" s="34" t="s">
        <v>37</v>
      </c>
      <c r="B27" s="34" t="s">
        <v>165</v>
      </c>
      <c r="C27" s="285">
        <v>6</v>
      </c>
      <c r="D27" s="84">
        <v>6972.35</v>
      </c>
      <c r="E27" s="84">
        <v>5941.62</v>
      </c>
      <c r="F27" s="84">
        <f>D27</f>
        <v>6972.35</v>
      </c>
      <c r="G27" s="84">
        <f t="shared" si="1"/>
        <v>1030.7300000000005</v>
      </c>
    </row>
    <row r="28" spans="1:7" ht="15">
      <c r="A28" s="34" t="s">
        <v>39</v>
      </c>
      <c r="B28" s="34" t="s">
        <v>137</v>
      </c>
      <c r="C28" s="285">
        <v>57.08</v>
      </c>
      <c r="D28" s="84">
        <v>93417.99</v>
      </c>
      <c r="E28" s="84">
        <v>107931.61</v>
      </c>
      <c r="F28" s="84">
        <f>D28</f>
        <v>93417.99</v>
      </c>
      <c r="G28" s="84">
        <f t="shared" si="1"/>
        <v>-14513.619999999995</v>
      </c>
    </row>
    <row r="29" spans="1:7" ht="15">
      <c r="A29" s="34" t="s">
        <v>42</v>
      </c>
      <c r="B29" s="34" t="s">
        <v>340</v>
      </c>
      <c r="C29" s="143">
        <v>0</v>
      </c>
      <c r="D29" s="84">
        <v>0</v>
      </c>
      <c r="E29" s="84">
        <v>0</v>
      </c>
      <c r="F29" s="84">
        <f>D29</f>
        <v>0</v>
      </c>
      <c r="G29" s="84">
        <f t="shared" si="1"/>
        <v>0</v>
      </c>
    </row>
    <row r="30" spans="1:7" ht="15">
      <c r="A30" s="34" t="s">
        <v>41</v>
      </c>
      <c r="B30" s="34" t="s">
        <v>43</v>
      </c>
      <c r="C30" s="99"/>
      <c r="D30" s="84">
        <v>0</v>
      </c>
      <c r="E30" s="84">
        <v>0</v>
      </c>
      <c r="F30" s="84">
        <f>D30</f>
        <v>0</v>
      </c>
      <c r="G30" s="84">
        <f t="shared" si="1"/>
        <v>0</v>
      </c>
    </row>
    <row r="31" spans="1:9" s="102" customFormat="1" ht="18" customHeight="1" thickBot="1">
      <c r="A31" s="446" t="s">
        <v>294</v>
      </c>
      <c r="B31" s="447"/>
      <c r="C31" s="447"/>
      <c r="D31" s="448"/>
      <c r="E31" s="448"/>
      <c r="F31" s="448"/>
      <c r="G31" s="101"/>
      <c r="H31" s="101"/>
      <c r="I31" s="101"/>
    </row>
    <row r="32" spans="1:9" s="67" customFormat="1" ht="15.75" thickBot="1">
      <c r="A32" s="455" t="s">
        <v>413</v>
      </c>
      <c r="B32" s="456"/>
      <c r="C32" s="456"/>
      <c r="D32" s="65">
        <v>-318561.17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4" s="67" customFormat="1" ht="15.75" thickBot="1">
      <c r="A34" s="63" t="s">
        <v>415</v>
      </c>
      <c r="B34" s="64"/>
      <c r="C34" s="64"/>
      <c r="D34" s="69"/>
      <c r="E34" s="70"/>
      <c r="F34" s="70"/>
      <c r="G34" s="432">
        <f>G13+E24-F24-G21</f>
        <v>-40605.255199999985</v>
      </c>
      <c r="H34" s="62"/>
      <c r="I34" s="62" t="s">
        <v>813</v>
      </c>
      <c r="N34" s="145"/>
    </row>
    <row r="35" spans="1:11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</row>
    <row r="36" spans="1:13" s="102" customFormat="1" ht="29.25" customHeight="1">
      <c r="A36" s="444" t="s">
        <v>44</v>
      </c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101"/>
      <c r="M36" s="101"/>
    </row>
    <row r="38" spans="1:11" ht="28.5">
      <c r="A38" s="105" t="s">
        <v>11</v>
      </c>
      <c r="B38" s="471" t="s">
        <v>45</v>
      </c>
      <c r="C38" s="484"/>
      <c r="D38" s="105" t="s">
        <v>163</v>
      </c>
      <c r="E38" s="105" t="s">
        <v>162</v>
      </c>
      <c r="F38" s="471" t="s">
        <v>46</v>
      </c>
      <c r="G38" s="484"/>
      <c r="H38" s="244"/>
      <c r="I38" s="245"/>
      <c r="J38" s="74"/>
      <c r="K38" s="74"/>
    </row>
    <row r="39" spans="1:14" s="74" customFormat="1" ht="15">
      <c r="A39" s="109" t="s">
        <v>47</v>
      </c>
      <c r="B39" s="473" t="s">
        <v>111</v>
      </c>
      <c r="C39" s="491"/>
      <c r="D39" s="110"/>
      <c r="E39" s="110"/>
      <c r="F39" s="496">
        <f>SUM(F40:G44)</f>
        <v>66828.4943</v>
      </c>
      <c r="G39" s="483"/>
      <c r="H39" s="246"/>
      <c r="I39" s="247"/>
      <c r="J39" s="114"/>
      <c r="K39" s="114"/>
      <c r="N39" s="108"/>
    </row>
    <row r="40" spans="1:14" s="114" customFormat="1" ht="16.5" customHeight="1">
      <c r="A40" s="34" t="s">
        <v>16</v>
      </c>
      <c r="B40" s="462" t="s">
        <v>670</v>
      </c>
      <c r="C40" s="489"/>
      <c r="D40" s="403"/>
      <c r="E40" s="403"/>
      <c r="F40" s="525">
        <v>18000</v>
      </c>
      <c r="G40" s="526"/>
      <c r="H40" s="248"/>
      <c r="I40" s="249"/>
      <c r="J40" s="57"/>
      <c r="K40" s="57"/>
      <c r="N40" s="115"/>
    </row>
    <row r="41" spans="1:14" s="114" customFormat="1" ht="16.5" customHeight="1">
      <c r="A41" s="34" t="s">
        <v>18</v>
      </c>
      <c r="B41" s="462" t="s">
        <v>168</v>
      </c>
      <c r="C41" s="489"/>
      <c r="D41" s="403"/>
      <c r="E41" s="403"/>
      <c r="F41" s="525">
        <v>12000</v>
      </c>
      <c r="G41" s="526"/>
      <c r="H41" s="40"/>
      <c r="I41" s="40"/>
      <c r="J41" s="57"/>
      <c r="K41" s="57"/>
      <c r="N41" s="115"/>
    </row>
    <row r="42" spans="1:14" s="114" customFormat="1" ht="16.5" customHeight="1">
      <c r="A42" s="34" t="s">
        <v>20</v>
      </c>
      <c r="B42" s="462" t="s">
        <v>671</v>
      </c>
      <c r="C42" s="489"/>
      <c r="D42" s="403"/>
      <c r="E42" s="403"/>
      <c r="F42" s="525">
        <v>31000</v>
      </c>
      <c r="G42" s="526"/>
      <c r="H42" s="40"/>
      <c r="I42" s="40"/>
      <c r="J42" s="57"/>
      <c r="K42" s="57"/>
      <c r="N42" s="115"/>
    </row>
    <row r="43" spans="1:14" s="114" customFormat="1" ht="16.5" customHeight="1">
      <c r="A43" s="34" t="s">
        <v>22</v>
      </c>
      <c r="B43" s="449" t="s">
        <v>814</v>
      </c>
      <c r="C43" s="451"/>
      <c r="D43" s="118" t="s">
        <v>391</v>
      </c>
      <c r="E43" s="118">
        <v>2</v>
      </c>
      <c r="F43" s="521">
        <v>5600</v>
      </c>
      <c r="G43" s="522"/>
      <c r="H43" s="40"/>
      <c r="I43" s="40"/>
      <c r="J43" s="57"/>
      <c r="K43" s="57"/>
      <c r="N43" s="115"/>
    </row>
    <row r="44" spans="1:14" ht="15.75" customHeight="1">
      <c r="A44" s="34" t="s">
        <v>24</v>
      </c>
      <c r="B44" s="511" t="s">
        <v>188</v>
      </c>
      <c r="C44" s="512"/>
      <c r="D44" s="123"/>
      <c r="E44" s="123"/>
      <c r="F44" s="495">
        <f>E24*1%</f>
        <v>228.4943</v>
      </c>
      <c r="G44" s="495"/>
      <c r="H44" s="59"/>
      <c r="I44" s="59"/>
      <c r="J44" s="59"/>
      <c r="K44" s="59"/>
      <c r="N44" s="119"/>
    </row>
    <row r="45" spans="1:11" ht="7.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</row>
    <row r="46" spans="1:11" s="59" customFormat="1" ht="15">
      <c r="A46" s="67" t="s">
        <v>55</v>
      </c>
      <c r="B46" s="67"/>
      <c r="C46" s="125" t="s">
        <v>49</v>
      </c>
      <c r="D46" s="67"/>
      <c r="E46" s="67"/>
      <c r="F46" s="67" t="s">
        <v>90</v>
      </c>
      <c r="G46" s="67"/>
      <c r="H46" s="67"/>
      <c r="I46" s="67"/>
      <c r="J46" s="67"/>
      <c r="K46" s="67"/>
    </row>
    <row r="47" spans="1:7" s="59" customFormat="1" ht="15">
      <c r="A47" s="67"/>
      <c r="B47" s="67"/>
      <c r="C47" s="125"/>
      <c r="D47" s="67"/>
      <c r="E47" s="67"/>
      <c r="F47" s="126" t="s">
        <v>545</v>
      </c>
      <c r="G47" s="67"/>
    </row>
    <row r="48" spans="1:11" s="67" customFormat="1" ht="15">
      <c r="A48" s="67" t="s">
        <v>50</v>
      </c>
      <c r="C48" s="125"/>
      <c r="H48" s="156"/>
      <c r="I48" s="156"/>
      <c r="J48" s="156"/>
      <c r="K48" s="59"/>
    </row>
    <row r="49" spans="1:7" s="59" customFormat="1" ht="15">
      <c r="A49" s="67"/>
      <c r="B49" s="67"/>
      <c r="C49" s="127" t="s">
        <v>51</v>
      </c>
      <c r="D49" s="67"/>
      <c r="E49" s="128"/>
      <c r="F49" s="128"/>
      <c r="G49" s="128"/>
    </row>
    <row r="50" s="59" customFormat="1" ht="12.75"/>
    <row r="51" s="59" customFormat="1" ht="12.75"/>
  </sheetData>
  <sheetProtection/>
  <mergeCells count="24">
    <mergeCell ref="F41:G41"/>
    <mergeCell ref="F42:G42"/>
    <mergeCell ref="B40:C40"/>
    <mergeCell ref="F40:G40"/>
    <mergeCell ref="B44:C44"/>
    <mergeCell ref="F44:G44"/>
    <mergeCell ref="B41:C41"/>
    <mergeCell ref="B42:C42"/>
    <mergeCell ref="B43:C43"/>
    <mergeCell ref="F43:G43"/>
    <mergeCell ref="A32:C32"/>
    <mergeCell ref="A36:K36"/>
    <mergeCell ref="B38:C38"/>
    <mergeCell ref="F38:G38"/>
    <mergeCell ref="B39:C39"/>
    <mergeCell ref="F39:G39"/>
    <mergeCell ref="A31:F31"/>
    <mergeCell ref="A11:K11"/>
    <mergeCell ref="A1:K1"/>
    <mergeCell ref="A2:K2"/>
    <mergeCell ref="A3:K3"/>
    <mergeCell ref="A5:K5"/>
    <mergeCell ref="A9:K9"/>
    <mergeCell ref="A10:K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P52"/>
  <sheetViews>
    <sheetView zoomScalePageLayoutView="0" workbookViewId="0" topLeftCell="A35">
      <selection activeCell="G39" sqref="G39"/>
    </sheetView>
  </sheetViews>
  <sheetFormatPr defaultColWidth="9.140625" defaultRowHeight="15" outlineLevelRow="1" outlineLevelCol="1"/>
  <cols>
    <col min="1" max="1" width="4.7109375" style="35" customWidth="1"/>
    <col min="2" max="2" width="46.8515625" style="35" customWidth="1"/>
    <col min="3" max="3" width="13.57421875" style="35" customWidth="1"/>
    <col min="4" max="5" width="13.140625" style="35" bestFit="1" customWidth="1"/>
    <col min="6" max="6" width="14.140625" style="35" customWidth="1"/>
    <col min="7" max="7" width="13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6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7.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5.75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6" ht="8.25" customHeight="1"/>
    <row r="7" spans="1:6" s="67" customFormat="1" ht="16.5" customHeight="1">
      <c r="A7" s="67" t="s">
        <v>2</v>
      </c>
      <c r="F7" s="126" t="s">
        <v>121</v>
      </c>
    </row>
    <row r="8" spans="1:6" s="67" customFormat="1" ht="15">
      <c r="A8" s="67" t="s">
        <v>3</v>
      </c>
      <c r="F8" s="126" t="s">
        <v>338</v>
      </c>
    </row>
    <row r="9" s="67" customFormat="1" ht="7.5" customHeight="1"/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16" s="67" customFormat="1" ht="15.75" hidden="1" outlineLevel="1" thickBot="1">
      <c r="A14" s="63" t="s">
        <v>335</v>
      </c>
      <c r="B14" s="64"/>
      <c r="C14" s="64"/>
      <c r="D14" s="69"/>
      <c r="E14" s="70"/>
      <c r="F14" s="70"/>
      <c r="G14" s="355">
        <f>'[2]Социалистическая 3'!$G$37</f>
        <v>-694755.44</v>
      </c>
      <c r="H14" s="62"/>
      <c r="I14" s="62">
        <v>453321.44</v>
      </c>
      <c r="J14" s="67">
        <v>132742.26</v>
      </c>
      <c r="K14" s="67">
        <v>250853.12</v>
      </c>
      <c r="N14" s="307" t="s">
        <v>421</v>
      </c>
      <c r="O14" s="307"/>
      <c r="P14" s="307"/>
    </row>
    <row r="15" spans="1:11" s="67" customFormat="1" ht="15.75" collapsed="1" thickBot="1">
      <c r="A15" s="63" t="s">
        <v>336</v>
      </c>
      <c r="B15" s="64"/>
      <c r="C15" s="64"/>
      <c r="D15" s="69"/>
      <c r="E15" s="70"/>
      <c r="F15" s="70"/>
      <c r="G15" s="144">
        <f>'[2]Социалистическая 3'!$G$38</f>
        <v>-475859.05480000004</v>
      </c>
      <c r="H15" s="62"/>
      <c r="I15" s="62" t="s">
        <v>809</v>
      </c>
      <c r="J15" s="67" t="s">
        <v>810</v>
      </c>
      <c r="K15" s="67" t="s">
        <v>811</v>
      </c>
    </row>
    <row r="16" s="67" customFormat="1" ht="6.75" customHeight="1"/>
    <row r="17" spans="1:8" s="74" customFormat="1" ht="51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  <c r="H17" s="72" t="s">
        <v>189</v>
      </c>
    </row>
    <row r="18" spans="1:8" s="167" customFormat="1" ht="28.5">
      <c r="A18" s="75" t="s">
        <v>14</v>
      </c>
      <c r="B18" s="41" t="s">
        <v>15</v>
      </c>
      <c r="C18" s="135">
        <f>C19+C20+C21+C22</f>
        <v>9.879999999999999</v>
      </c>
      <c r="D18" s="76">
        <v>550642.09</v>
      </c>
      <c r="E18" s="76">
        <v>531181.1</v>
      </c>
      <c r="F18" s="76">
        <f>D18</f>
        <v>550642.09</v>
      </c>
      <c r="G18" s="77">
        <f>D18-E18</f>
        <v>19460.98999999999</v>
      </c>
      <c r="H18" s="166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192836.19751012145</v>
      </c>
      <c r="E19" s="83">
        <f>E18*I19</f>
        <v>186020.91153846154</v>
      </c>
      <c r="F19" s="83">
        <f>D19</f>
        <v>192836.19751012145</v>
      </c>
      <c r="G19" s="84">
        <f>D19-E19</f>
        <v>6815.285971659905</v>
      </c>
      <c r="H19" s="145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94188.77855263157</v>
      </c>
      <c r="E20" s="83">
        <f>E18*I20</f>
        <v>90859.925</v>
      </c>
      <c r="F20" s="83">
        <f>D20</f>
        <v>94188.77855263157</v>
      </c>
      <c r="G20" s="84">
        <f aca="true" t="shared" si="0" ref="G20:G32">D20-E20</f>
        <v>3328.853552631568</v>
      </c>
      <c r="H20" s="145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94188.77855263157</v>
      </c>
      <c r="E21" s="83">
        <f>E18*I21</f>
        <v>90859.925</v>
      </c>
      <c r="F21" s="83">
        <f>D21</f>
        <v>94188.77855263157</v>
      </c>
      <c r="G21" s="84">
        <f t="shared" si="0"/>
        <v>3328.853552631568</v>
      </c>
      <c r="H21" s="145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169428.33538461538</v>
      </c>
      <c r="E22" s="83">
        <f>E18*I22</f>
        <v>163440.33846153846</v>
      </c>
      <c r="F22" s="83">
        <f>D22</f>
        <v>169428.33538461538</v>
      </c>
      <c r="G22" s="84">
        <f t="shared" si="0"/>
        <v>5987.99692307692</v>
      </c>
      <c r="H22" s="145">
        <f>C22</f>
        <v>3.04</v>
      </c>
      <c r="I22" s="67">
        <f>H22/H18</f>
        <v>0.3076923076923077</v>
      </c>
    </row>
    <row r="23" spans="1:7" s="39" customFormat="1" ht="14.25">
      <c r="A23" s="41" t="s">
        <v>25</v>
      </c>
      <c r="B23" s="86" t="s">
        <v>462</v>
      </c>
      <c r="C23" s="97">
        <v>120</v>
      </c>
      <c r="D23" s="77">
        <v>0</v>
      </c>
      <c r="E23" s="77">
        <v>0</v>
      </c>
      <c r="F23" s="76">
        <f aca="true" t="shared" si="1" ref="F23:F32">D23</f>
        <v>0</v>
      </c>
      <c r="G23" s="77">
        <f t="shared" si="0"/>
        <v>0</v>
      </c>
    </row>
    <row r="24" spans="1:7" s="39" customFormat="1" ht="14.25">
      <c r="A24" s="41" t="s">
        <v>27</v>
      </c>
      <c r="B24" s="140" t="s">
        <v>28</v>
      </c>
      <c r="C24" s="97">
        <v>0</v>
      </c>
      <c r="D24" s="77">
        <v>0</v>
      </c>
      <c r="E24" s="77">
        <v>0</v>
      </c>
      <c r="F24" s="76">
        <f>D24</f>
        <v>0</v>
      </c>
      <c r="G24" s="77">
        <f t="shared" si="0"/>
        <v>0</v>
      </c>
    </row>
    <row r="25" spans="1:7" s="39" customFormat="1" ht="14.25">
      <c r="A25" s="41" t="s">
        <v>29</v>
      </c>
      <c r="B25" s="140" t="s">
        <v>161</v>
      </c>
      <c r="C25" s="141">
        <v>1902.11</v>
      </c>
      <c r="D25" s="77"/>
      <c r="E25" s="77"/>
      <c r="F25" s="76">
        <f t="shared" si="1"/>
        <v>0</v>
      </c>
      <c r="G25" s="77">
        <f t="shared" si="0"/>
        <v>0</v>
      </c>
    </row>
    <row r="26" spans="1:7" s="39" customFormat="1" ht="14.25">
      <c r="A26" s="41" t="s">
        <v>31</v>
      </c>
      <c r="B26" s="140" t="s">
        <v>116</v>
      </c>
      <c r="C26" s="97">
        <v>3</v>
      </c>
      <c r="D26" s="77">
        <v>127944</v>
      </c>
      <c r="E26" s="77">
        <v>123913.71</v>
      </c>
      <c r="F26" s="76">
        <f>F43</f>
        <v>30732.5871</v>
      </c>
      <c r="G26" s="77">
        <f t="shared" si="0"/>
        <v>4030.2899999999936</v>
      </c>
    </row>
    <row r="27" spans="1:7" s="39" customFormat="1" ht="14.25">
      <c r="A27" s="41" t="s">
        <v>33</v>
      </c>
      <c r="B27" s="134" t="s">
        <v>34</v>
      </c>
      <c r="C27" s="46">
        <v>0</v>
      </c>
      <c r="D27" s="77">
        <v>0</v>
      </c>
      <c r="E27" s="77">
        <v>306.66</v>
      </c>
      <c r="F27" s="76">
        <f>D27</f>
        <v>0</v>
      </c>
      <c r="G27" s="77">
        <f t="shared" si="0"/>
        <v>-306.66</v>
      </c>
    </row>
    <row r="28" spans="1:7" s="39" customFormat="1" ht="14.25">
      <c r="A28" s="41" t="s">
        <v>35</v>
      </c>
      <c r="B28" s="134" t="s">
        <v>36</v>
      </c>
      <c r="C28" s="97"/>
      <c r="D28" s="77">
        <f>SUM(D29:D32)</f>
        <v>1721009.5</v>
      </c>
      <c r="E28" s="77">
        <f>SUM(E29:E32)</f>
        <v>1622434.25</v>
      </c>
      <c r="F28" s="76">
        <f t="shared" si="1"/>
        <v>1721009.5</v>
      </c>
      <c r="G28" s="77">
        <f t="shared" si="0"/>
        <v>98575.25</v>
      </c>
    </row>
    <row r="29" spans="1:7" ht="15">
      <c r="A29" s="34" t="s">
        <v>37</v>
      </c>
      <c r="B29" s="34" t="s">
        <v>165</v>
      </c>
      <c r="C29" s="285">
        <v>6</v>
      </c>
      <c r="D29" s="84">
        <v>37355.88</v>
      </c>
      <c r="E29" s="84">
        <v>35767.87</v>
      </c>
      <c r="F29" s="83">
        <f>D29</f>
        <v>37355.88</v>
      </c>
      <c r="G29" s="84">
        <f t="shared" si="0"/>
        <v>1588.0099999999948</v>
      </c>
    </row>
    <row r="30" spans="1:7" ht="15">
      <c r="A30" s="34" t="s">
        <v>39</v>
      </c>
      <c r="B30" s="34" t="s">
        <v>137</v>
      </c>
      <c r="C30" s="285">
        <v>57.08</v>
      </c>
      <c r="D30" s="84">
        <v>606732.96</v>
      </c>
      <c r="E30" s="84">
        <v>558319.97</v>
      </c>
      <c r="F30" s="83">
        <f t="shared" si="1"/>
        <v>606732.96</v>
      </c>
      <c r="G30" s="84">
        <f t="shared" si="0"/>
        <v>48412.98999999999</v>
      </c>
    </row>
    <row r="31" spans="1:7" ht="15">
      <c r="A31" s="34" t="s">
        <v>42</v>
      </c>
      <c r="B31" s="139" t="s">
        <v>340</v>
      </c>
      <c r="C31" s="286">
        <v>0</v>
      </c>
      <c r="D31" s="84">
        <v>0</v>
      </c>
      <c r="E31" s="84">
        <v>0</v>
      </c>
      <c r="F31" s="83">
        <f t="shared" si="1"/>
        <v>0</v>
      </c>
      <c r="G31" s="84">
        <f t="shared" si="0"/>
        <v>0</v>
      </c>
    </row>
    <row r="32" spans="1:7" ht="15">
      <c r="A32" s="34" t="s">
        <v>41</v>
      </c>
      <c r="B32" s="34" t="s">
        <v>43</v>
      </c>
      <c r="C32" s="285">
        <v>2638.8</v>
      </c>
      <c r="D32" s="84">
        <v>1076920.66</v>
      </c>
      <c r="E32" s="84">
        <v>1028346.41</v>
      </c>
      <c r="F32" s="83">
        <f t="shared" si="1"/>
        <v>1076920.66</v>
      </c>
      <c r="G32" s="84">
        <f t="shared" si="0"/>
        <v>48574.24999999988</v>
      </c>
    </row>
    <row r="33" spans="1:10" s="102" customFormat="1" ht="15" customHeight="1">
      <c r="A33" s="446" t="s">
        <v>294</v>
      </c>
      <c r="B33" s="447"/>
      <c r="C33" s="447"/>
      <c r="D33" s="448"/>
      <c r="E33" s="448"/>
      <c r="F33" s="448"/>
      <c r="G33" s="101"/>
      <c r="H33" s="101"/>
      <c r="I33" s="101"/>
      <c r="J33" s="101"/>
    </row>
    <row r="34" spans="1:10" s="102" customFormat="1" ht="15" customHeight="1" thickBot="1">
      <c r="A34" s="446" t="s">
        <v>353</v>
      </c>
      <c r="B34" s="447"/>
      <c r="C34" s="447"/>
      <c r="D34" s="448"/>
      <c r="E34" s="448"/>
      <c r="F34" s="448"/>
      <c r="G34" s="101"/>
      <c r="H34" s="101"/>
      <c r="I34" s="101"/>
      <c r="J34" s="101"/>
    </row>
    <row r="35" spans="1:9" s="67" customFormat="1" ht="15.75" thickBot="1">
      <c r="A35" s="455" t="s">
        <v>413</v>
      </c>
      <c r="B35" s="456"/>
      <c r="C35" s="456"/>
      <c r="D35" s="65">
        <v>1488099.57</v>
      </c>
      <c r="E35" s="66"/>
      <c r="F35" s="66"/>
      <c r="G35" s="66"/>
      <c r="H35" s="62"/>
      <c r="I35" s="62"/>
    </row>
    <row r="36" spans="1:9" s="67" customFormat="1" ht="6" customHeight="1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hidden="1" outlineLevel="1" thickBot="1">
      <c r="A37" s="63" t="s">
        <v>414</v>
      </c>
      <c r="B37" s="64"/>
      <c r="C37" s="64"/>
      <c r="D37" s="69"/>
      <c r="E37" s="70"/>
      <c r="F37" s="70"/>
      <c r="G37" s="144">
        <f>G14+E27-F27</f>
        <v>-694448.7799999999</v>
      </c>
      <c r="H37" s="62"/>
      <c r="I37" s="62"/>
    </row>
    <row r="38" spans="1:13" s="67" customFormat="1" ht="15.75" collapsed="1" thickBot="1">
      <c r="A38" s="63" t="s">
        <v>415</v>
      </c>
      <c r="B38" s="64"/>
      <c r="C38" s="64"/>
      <c r="D38" s="69"/>
      <c r="E38" s="70"/>
      <c r="F38" s="70"/>
      <c r="G38" s="144">
        <f>E26+G15-F26</f>
        <v>-382677.9319</v>
      </c>
      <c r="H38" s="62"/>
      <c r="I38" s="62"/>
      <c r="M38" s="145"/>
    </row>
    <row r="39" spans="1:9" s="67" customFormat="1" ht="15">
      <c r="A39" s="68"/>
      <c r="B39" s="68"/>
      <c r="C39" s="68"/>
      <c r="D39" s="40"/>
      <c r="E39" s="66"/>
      <c r="F39" s="66"/>
      <c r="G39" s="40"/>
      <c r="H39" s="62"/>
      <c r="I39" s="62"/>
    </row>
    <row r="40" spans="1:9" ht="25.5" customHeight="1">
      <c r="A40" s="444" t="s">
        <v>44</v>
      </c>
      <c r="B40" s="444"/>
      <c r="C40" s="444"/>
      <c r="D40" s="444"/>
      <c r="E40" s="444"/>
      <c r="F40" s="444"/>
      <c r="G40" s="444"/>
      <c r="H40" s="444"/>
      <c r="I40" s="444"/>
    </row>
    <row r="41" ht="8.25" customHeight="1"/>
    <row r="42" spans="1:7" s="171" customFormat="1" ht="28.5" customHeight="1">
      <c r="A42" s="105" t="s">
        <v>11</v>
      </c>
      <c r="B42" s="176" t="s">
        <v>45</v>
      </c>
      <c r="C42" s="177"/>
      <c r="D42" s="105" t="s">
        <v>163</v>
      </c>
      <c r="E42" s="105" t="s">
        <v>162</v>
      </c>
      <c r="F42" s="471" t="s">
        <v>46</v>
      </c>
      <c r="G42" s="483"/>
    </row>
    <row r="43" spans="1:7" s="114" customFormat="1" ht="13.5" customHeight="1">
      <c r="A43" s="109" t="s">
        <v>47</v>
      </c>
      <c r="B43" s="473" t="s">
        <v>111</v>
      </c>
      <c r="C43" s="491"/>
      <c r="D43" s="172"/>
      <c r="E43" s="172"/>
      <c r="F43" s="499">
        <f>SUM(F44:G47)</f>
        <v>30732.5871</v>
      </c>
      <c r="G43" s="500"/>
    </row>
    <row r="44" spans="1:7" ht="13.5" customHeight="1">
      <c r="A44" s="34" t="s">
        <v>16</v>
      </c>
      <c r="B44" s="505" t="s">
        <v>552</v>
      </c>
      <c r="C44" s="506"/>
      <c r="D44" s="381" t="s">
        <v>217</v>
      </c>
      <c r="E44" s="396">
        <v>0.01</v>
      </c>
      <c r="F44" s="501">
        <v>2293.45</v>
      </c>
      <c r="G44" s="501"/>
    </row>
    <row r="45" spans="1:7" ht="13.5" customHeight="1">
      <c r="A45" s="34" t="s">
        <v>18</v>
      </c>
      <c r="B45" s="503" t="s">
        <v>814</v>
      </c>
      <c r="C45" s="504"/>
      <c r="D45" s="151" t="s">
        <v>391</v>
      </c>
      <c r="E45" s="185">
        <v>4</v>
      </c>
      <c r="F45" s="502">
        <v>11200</v>
      </c>
      <c r="G45" s="502"/>
    </row>
    <row r="46" spans="1:7" ht="13.5" customHeight="1">
      <c r="A46" s="34" t="s">
        <v>20</v>
      </c>
      <c r="B46" s="449" t="s">
        <v>404</v>
      </c>
      <c r="C46" s="641"/>
      <c r="D46" s="151" t="s">
        <v>391</v>
      </c>
      <c r="E46" s="152">
        <v>8</v>
      </c>
      <c r="F46" s="490">
        <v>16000</v>
      </c>
      <c r="G46" s="490"/>
    </row>
    <row r="47" spans="1:7" ht="13.5" customHeight="1">
      <c r="A47" s="34" t="s">
        <v>22</v>
      </c>
      <c r="B47" s="503" t="s">
        <v>188</v>
      </c>
      <c r="C47" s="504"/>
      <c r="D47" s="151"/>
      <c r="E47" s="185"/>
      <c r="F47" s="502">
        <f>E26*1%</f>
        <v>1239.1371000000001</v>
      </c>
      <c r="G47" s="502"/>
    </row>
    <row r="48" spans="1:7" s="67" customFormat="1" ht="15">
      <c r="A48" s="168"/>
      <c r="B48" s="186"/>
      <c r="C48" s="186"/>
      <c r="D48" s="187"/>
      <c r="E48" s="188"/>
      <c r="F48" s="189"/>
      <c r="G48" s="189"/>
    </row>
    <row r="49" spans="1:6" s="67" customFormat="1" ht="15">
      <c r="A49" s="67" t="s">
        <v>55</v>
      </c>
      <c r="C49" s="67" t="s">
        <v>49</v>
      </c>
      <c r="F49" s="67" t="s">
        <v>90</v>
      </c>
    </row>
    <row r="50" s="67" customFormat="1" ht="13.5" customHeight="1">
      <c r="F50" s="126" t="s">
        <v>545</v>
      </c>
    </row>
    <row r="51" s="67" customFormat="1" ht="15">
      <c r="A51" s="67" t="s">
        <v>50</v>
      </c>
    </row>
    <row r="52" spans="3:7" s="67" customFormat="1" ht="15">
      <c r="C52" s="128" t="s">
        <v>51</v>
      </c>
      <c r="E52" s="128"/>
      <c r="F52" s="128"/>
      <c r="G52" s="128"/>
    </row>
    <row r="53" s="67" customFormat="1" ht="15"/>
    <row r="54" s="67" customFormat="1" ht="15"/>
  </sheetData>
  <sheetProtection/>
  <mergeCells count="22">
    <mergeCell ref="F47:G47"/>
    <mergeCell ref="B43:C43"/>
    <mergeCell ref="B47:C47"/>
    <mergeCell ref="B44:C44"/>
    <mergeCell ref="A35:C35"/>
    <mergeCell ref="A40:I40"/>
    <mergeCell ref="F42:G42"/>
    <mergeCell ref="B45:C45"/>
    <mergeCell ref="A1:I1"/>
    <mergeCell ref="A2:I2"/>
    <mergeCell ref="A5:I5"/>
    <mergeCell ref="A10:I10"/>
    <mergeCell ref="A3:K3"/>
    <mergeCell ref="A11:I11"/>
    <mergeCell ref="A12:I12"/>
    <mergeCell ref="A33:F33"/>
    <mergeCell ref="B46:C46"/>
    <mergeCell ref="F46:G46"/>
    <mergeCell ref="F43:G43"/>
    <mergeCell ref="F44:G44"/>
    <mergeCell ref="F45:G45"/>
    <mergeCell ref="A34:F34"/>
  </mergeCells>
  <printOptions/>
  <pageMargins left="0.5905511811023623" right="0" top="0.5905511811023623" bottom="0.5905511811023623" header="0.31496062992125984" footer="0.31496062992125984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7030A0"/>
  </sheetPr>
  <dimension ref="A1:P48"/>
  <sheetViews>
    <sheetView zoomScalePageLayoutView="0" workbookViewId="0" topLeftCell="A28">
      <selection activeCell="F42" sqref="F42:G42"/>
    </sheetView>
  </sheetViews>
  <sheetFormatPr defaultColWidth="9.140625" defaultRowHeight="15" outlineLevelCol="1"/>
  <cols>
    <col min="1" max="1" width="5.421875" style="57" customWidth="1"/>
    <col min="2" max="2" width="48.57421875" style="57" customWidth="1"/>
    <col min="3" max="3" width="15.421875" style="57" customWidth="1"/>
    <col min="4" max="4" width="14.8515625" style="57" customWidth="1"/>
    <col min="5" max="5" width="13.57421875" style="57" customWidth="1"/>
    <col min="6" max="6" width="13.003906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10.00390625" style="57" bestFit="1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12" s="59" customFormat="1" ht="16.5" customHeight="1">
      <c r="A7" s="59" t="s">
        <v>2</v>
      </c>
      <c r="F7" s="60" t="s">
        <v>155</v>
      </c>
      <c r="H7" s="60"/>
      <c r="L7" s="61"/>
    </row>
    <row r="8" spans="1:8" s="59" customFormat="1" ht="12.75">
      <c r="A8" s="59" t="s">
        <v>3</v>
      </c>
      <c r="F8" s="301" t="s">
        <v>370</v>
      </c>
      <c r="H8" s="60"/>
    </row>
    <row r="9" spans="1:11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336</v>
      </c>
      <c r="B13" s="64"/>
      <c r="C13" s="64"/>
      <c r="D13" s="69"/>
      <c r="E13" s="70"/>
      <c r="F13" s="70"/>
      <c r="G13" s="65">
        <f>'[2]Нефтебаза 3'!$G$34</f>
        <v>487479.3439000001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6" s="59" customFormat="1" ht="14.25">
      <c r="A16" s="75" t="s">
        <v>14</v>
      </c>
      <c r="B16" s="41" t="s">
        <v>15</v>
      </c>
      <c r="C16" s="135">
        <f>C17+C18+C19+C20</f>
        <v>9.879999999999999</v>
      </c>
      <c r="D16" s="76">
        <v>237429.72</v>
      </c>
      <c r="E16" s="76">
        <v>246745.52</v>
      </c>
      <c r="F16" s="76">
        <f aca="true" t="shared" si="0" ref="F16:F22">D16</f>
        <v>237429.72</v>
      </c>
      <c r="G16" s="77">
        <f>D16-E16</f>
        <v>-9315.799999999988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83148.46469635628</v>
      </c>
      <c r="E17" s="83">
        <f>E16*I17</f>
        <v>86410.88048582997</v>
      </c>
      <c r="F17" s="83">
        <f t="shared" si="0"/>
        <v>83148.46469635628</v>
      </c>
      <c r="G17" s="84">
        <f>D17-E17</f>
        <v>-3262.4157894736854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40612.978421052634</v>
      </c>
      <c r="E18" s="83">
        <f>E16*I18</f>
        <v>42206.47052631579</v>
      </c>
      <c r="F18" s="83">
        <f t="shared" si="0"/>
        <v>40612.978421052634</v>
      </c>
      <c r="G18" s="84">
        <f>D18-E18</f>
        <v>-1593.4921052631544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40612.978421052634</v>
      </c>
      <c r="E19" s="83">
        <f>E16*I19</f>
        <v>42206.47052631579</v>
      </c>
      <c r="F19" s="83">
        <f t="shared" si="0"/>
        <v>40612.978421052634</v>
      </c>
      <c r="G19" s="84">
        <f>D19-E19</f>
        <v>-1593.4921052631544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73055.29846153846</v>
      </c>
      <c r="E20" s="83">
        <f>E16*I20</f>
        <v>75921.69846153846</v>
      </c>
      <c r="F20" s="83">
        <f t="shared" si="0"/>
        <v>73055.29846153846</v>
      </c>
      <c r="G20" s="84">
        <f>D20-E20</f>
        <v>-2866.399999999994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462</v>
      </c>
      <c r="C21" s="97" t="s">
        <v>798</v>
      </c>
      <c r="D21" s="87">
        <v>46800</v>
      </c>
      <c r="E21" s="87">
        <v>44007.91</v>
      </c>
      <c r="F21" s="87">
        <f t="shared" si="0"/>
        <v>46800</v>
      </c>
      <c r="G21" s="77">
        <f aca="true" t="shared" si="1" ref="G21:G30">D21-E21</f>
        <v>2792.0899999999965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/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1">
        <v>0</v>
      </c>
      <c r="D23" s="87">
        <v>0</v>
      </c>
      <c r="E23" s="87">
        <v>0</v>
      </c>
      <c r="F23" s="87"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87">
        <v>10</v>
      </c>
      <c r="D24" s="87">
        <v>214548</v>
      </c>
      <c r="E24" s="87">
        <v>221595.43</v>
      </c>
      <c r="F24" s="87">
        <f>F39</f>
        <v>14547.324299999998</v>
      </c>
      <c r="G24" s="77">
        <f t="shared" si="1"/>
        <v>-7047.429999999993</v>
      </c>
      <c r="H24" s="88"/>
      <c r="I24" s="88"/>
      <c r="J24" s="88"/>
      <c r="K24" s="88"/>
    </row>
    <row r="25" spans="1:11" ht="14.25">
      <c r="A25" s="41" t="s">
        <v>33</v>
      </c>
      <c r="B25" s="41" t="s">
        <v>161</v>
      </c>
      <c r="C25" s="77" t="s">
        <v>297</v>
      </c>
      <c r="D25" s="77"/>
      <c r="E25" s="77"/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989632.8799999999</v>
      </c>
      <c r="E26" s="77">
        <f>SUM(E27:E30)</f>
        <v>998850.9</v>
      </c>
      <c r="F26" s="77">
        <f>SUM(F27:F30)</f>
        <v>989632.8799999999</v>
      </c>
      <c r="G26" s="77">
        <f t="shared" si="1"/>
        <v>-9218.020000000135</v>
      </c>
      <c r="H26" s="98"/>
      <c r="I26" s="98"/>
      <c r="J26" s="98"/>
      <c r="K26" s="98"/>
    </row>
    <row r="27" spans="1:7" ht="15">
      <c r="A27" s="34" t="s">
        <v>37</v>
      </c>
      <c r="B27" s="34" t="s">
        <v>165</v>
      </c>
      <c r="C27" s="285">
        <v>6</v>
      </c>
      <c r="D27" s="84">
        <v>20063.86</v>
      </c>
      <c r="E27" s="84">
        <v>20498.28</v>
      </c>
      <c r="F27" s="84">
        <f>D27</f>
        <v>20063.86</v>
      </c>
      <c r="G27" s="84">
        <f t="shared" si="1"/>
        <v>-434.41999999999825</v>
      </c>
    </row>
    <row r="28" spans="1:7" ht="15">
      <c r="A28" s="34" t="s">
        <v>39</v>
      </c>
      <c r="B28" s="34" t="s">
        <v>137</v>
      </c>
      <c r="C28" s="285">
        <v>57.08</v>
      </c>
      <c r="D28" s="84">
        <v>272519.43</v>
      </c>
      <c r="E28" s="84">
        <v>257646.89</v>
      </c>
      <c r="F28" s="84">
        <f>D28</f>
        <v>272519.43</v>
      </c>
      <c r="G28" s="84">
        <f t="shared" si="1"/>
        <v>14872.539999999979</v>
      </c>
    </row>
    <row r="29" spans="1:7" ht="15">
      <c r="A29" s="34" t="s">
        <v>42</v>
      </c>
      <c r="B29" s="34" t="s">
        <v>340</v>
      </c>
      <c r="C29" s="286">
        <v>0</v>
      </c>
      <c r="D29" s="84">
        <v>0</v>
      </c>
      <c r="E29" s="84">
        <v>0</v>
      </c>
      <c r="F29" s="84">
        <f>D29</f>
        <v>0</v>
      </c>
      <c r="G29" s="84">
        <f t="shared" si="1"/>
        <v>0</v>
      </c>
    </row>
    <row r="30" spans="1:7" ht="15">
      <c r="A30" s="34" t="s">
        <v>41</v>
      </c>
      <c r="B30" s="34" t="s">
        <v>43</v>
      </c>
      <c r="C30" s="285">
        <v>2638.8</v>
      </c>
      <c r="D30" s="84">
        <v>697049.59</v>
      </c>
      <c r="E30" s="84">
        <v>720705.73</v>
      </c>
      <c r="F30" s="84">
        <f>D30</f>
        <v>697049.59</v>
      </c>
      <c r="G30" s="84">
        <f t="shared" si="1"/>
        <v>-23656.140000000014</v>
      </c>
    </row>
    <row r="31" spans="1:9" s="102" customFormat="1" ht="20.25" customHeight="1" thickBot="1">
      <c r="A31" s="446" t="s">
        <v>294</v>
      </c>
      <c r="B31" s="447"/>
      <c r="C31" s="447"/>
      <c r="D31" s="448"/>
      <c r="E31" s="448"/>
      <c r="F31" s="448"/>
      <c r="G31" s="101"/>
      <c r="H31" s="101"/>
      <c r="I31" s="101"/>
    </row>
    <row r="32" spans="1:9" s="67" customFormat="1" ht="15.75" thickBot="1">
      <c r="A32" s="455" t="s">
        <v>413</v>
      </c>
      <c r="B32" s="456"/>
      <c r="C32" s="456"/>
      <c r="D32" s="65">
        <v>435982.91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4" s="67" customFormat="1" ht="15.75" thickBot="1">
      <c r="A34" s="63" t="s">
        <v>336</v>
      </c>
      <c r="B34" s="64"/>
      <c r="C34" s="64"/>
      <c r="D34" s="69"/>
      <c r="E34" s="70"/>
      <c r="F34" s="70"/>
      <c r="G34" s="144">
        <f>G13+E24-F24</f>
        <v>694527.4496000002</v>
      </c>
      <c r="H34" s="62"/>
      <c r="I34" s="62"/>
      <c r="N34" s="145"/>
    </row>
    <row r="35" spans="1:11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</row>
    <row r="36" spans="1:13" s="102" customFormat="1" ht="29.25" customHeight="1">
      <c r="A36" s="444" t="s">
        <v>44</v>
      </c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101"/>
      <c r="M36" s="101"/>
    </row>
    <row r="38" spans="1:11" ht="28.5">
      <c r="A38" s="105" t="s">
        <v>11</v>
      </c>
      <c r="B38" s="471" t="s">
        <v>45</v>
      </c>
      <c r="C38" s="484"/>
      <c r="D38" s="105" t="s">
        <v>163</v>
      </c>
      <c r="E38" s="105" t="s">
        <v>162</v>
      </c>
      <c r="F38" s="471" t="s">
        <v>46</v>
      </c>
      <c r="G38" s="484"/>
      <c r="H38" s="244"/>
      <c r="I38" s="245"/>
      <c r="J38" s="74"/>
      <c r="K38" s="74"/>
    </row>
    <row r="39" spans="1:14" s="74" customFormat="1" ht="15">
      <c r="A39" s="109" t="s">
        <v>47</v>
      </c>
      <c r="B39" s="473" t="s">
        <v>111</v>
      </c>
      <c r="C39" s="491"/>
      <c r="D39" s="110"/>
      <c r="E39" s="110"/>
      <c r="F39" s="496">
        <f>SUM(F40:G43)</f>
        <v>14547.324299999998</v>
      </c>
      <c r="G39" s="483"/>
      <c r="H39" s="246"/>
      <c r="I39" s="247"/>
      <c r="J39" s="114"/>
      <c r="K39" s="114"/>
      <c r="N39" s="108"/>
    </row>
    <row r="40" spans="1:14" s="114" customFormat="1" ht="15" customHeight="1">
      <c r="A40" s="34" t="s">
        <v>16</v>
      </c>
      <c r="B40" s="462" t="s">
        <v>672</v>
      </c>
      <c r="C40" s="489"/>
      <c r="D40" s="403" t="s">
        <v>164</v>
      </c>
      <c r="E40" s="403">
        <v>3</v>
      </c>
      <c r="F40" s="525">
        <v>1131.37</v>
      </c>
      <c r="G40" s="526"/>
      <c r="H40" s="248"/>
      <c r="I40" s="249"/>
      <c r="J40" s="57"/>
      <c r="K40" s="57"/>
      <c r="N40" s="115"/>
    </row>
    <row r="41" spans="1:14" s="114" customFormat="1" ht="15" customHeight="1">
      <c r="A41" s="34" t="s">
        <v>18</v>
      </c>
      <c r="B41" s="449" t="s">
        <v>814</v>
      </c>
      <c r="C41" s="451"/>
      <c r="D41" s="118" t="s">
        <v>391</v>
      </c>
      <c r="E41" s="118">
        <v>4</v>
      </c>
      <c r="F41" s="521">
        <v>11200</v>
      </c>
      <c r="G41" s="522"/>
      <c r="H41" s="40"/>
      <c r="I41" s="40"/>
      <c r="J41" s="57"/>
      <c r="K41" s="57"/>
      <c r="N41" s="115"/>
    </row>
    <row r="42" spans="1:14" s="114" customFormat="1" ht="15" customHeight="1">
      <c r="A42" s="34" t="s">
        <v>20</v>
      </c>
      <c r="B42" s="462"/>
      <c r="C42" s="489"/>
      <c r="D42" s="403"/>
      <c r="E42" s="408"/>
      <c r="F42" s="525"/>
      <c r="G42" s="526"/>
      <c r="H42" s="40"/>
      <c r="I42" s="40"/>
      <c r="J42" s="57"/>
      <c r="K42" s="57"/>
      <c r="N42" s="115"/>
    </row>
    <row r="43" spans="1:14" ht="15.75" customHeight="1">
      <c r="A43" s="34" t="s">
        <v>22</v>
      </c>
      <c r="B43" s="511" t="s">
        <v>188</v>
      </c>
      <c r="C43" s="512"/>
      <c r="D43" s="123"/>
      <c r="E43" s="123"/>
      <c r="F43" s="495">
        <f>E24*1%</f>
        <v>2215.9543</v>
      </c>
      <c r="G43" s="495"/>
      <c r="H43" s="59"/>
      <c r="I43" s="59"/>
      <c r="J43" s="59"/>
      <c r="K43" s="59"/>
      <c r="N43" s="119"/>
    </row>
    <row r="44" spans="1:11" ht="7.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</row>
    <row r="45" spans="1:11" s="59" customFormat="1" ht="15">
      <c r="A45" s="67" t="s">
        <v>55</v>
      </c>
      <c r="B45" s="67"/>
      <c r="C45" s="125" t="s">
        <v>49</v>
      </c>
      <c r="D45" s="67"/>
      <c r="E45" s="67"/>
      <c r="F45" s="67" t="s">
        <v>90</v>
      </c>
      <c r="G45" s="67"/>
      <c r="H45" s="67"/>
      <c r="I45" s="67"/>
      <c r="J45" s="67"/>
      <c r="K45" s="67"/>
    </row>
    <row r="46" spans="1:7" s="59" customFormat="1" ht="15">
      <c r="A46" s="67"/>
      <c r="B46" s="67"/>
      <c r="C46" s="125"/>
      <c r="D46" s="67"/>
      <c r="E46" s="67"/>
      <c r="F46" s="126" t="s">
        <v>545</v>
      </c>
      <c r="G46" s="67"/>
    </row>
    <row r="47" spans="1:11" s="67" customFormat="1" ht="15">
      <c r="A47" s="67" t="s">
        <v>50</v>
      </c>
      <c r="C47" s="125"/>
      <c r="H47" s="156"/>
      <c r="I47" s="156"/>
      <c r="J47" s="156"/>
      <c r="K47" s="59"/>
    </row>
    <row r="48" spans="1:7" s="59" customFormat="1" ht="15">
      <c r="A48" s="67"/>
      <c r="B48" s="67"/>
      <c r="C48" s="127" t="s">
        <v>51</v>
      </c>
      <c r="D48" s="67"/>
      <c r="E48" s="128"/>
      <c r="F48" s="128"/>
      <c r="G48" s="128"/>
    </row>
    <row r="49" s="59" customFormat="1" ht="12.75"/>
    <row r="50" s="59" customFormat="1" ht="12.75"/>
  </sheetData>
  <sheetProtection/>
  <mergeCells count="22">
    <mergeCell ref="A31:F31"/>
    <mergeCell ref="A11:K11"/>
    <mergeCell ref="A10:K10"/>
    <mergeCell ref="A1:K1"/>
    <mergeCell ref="A2:K2"/>
    <mergeCell ref="A3:K3"/>
    <mergeCell ref="A5:K5"/>
    <mergeCell ref="A9:K9"/>
    <mergeCell ref="A32:C32"/>
    <mergeCell ref="A36:K36"/>
    <mergeCell ref="B38:C38"/>
    <mergeCell ref="F38:G38"/>
    <mergeCell ref="B40:C40"/>
    <mergeCell ref="F40:G40"/>
    <mergeCell ref="B39:C39"/>
    <mergeCell ref="F39:G39"/>
    <mergeCell ref="B43:C43"/>
    <mergeCell ref="F43:G43"/>
    <mergeCell ref="B41:C41"/>
    <mergeCell ref="F41:G41"/>
    <mergeCell ref="B42:C42"/>
    <mergeCell ref="F42:G42"/>
  </mergeCells>
  <printOptions/>
  <pageMargins left="0.7" right="0.7" top="0.75" bottom="0.75" header="0.3" footer="0.3"/>
  <pageSetup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7030A0"/>
  </sheetPr>
  <dimension ref="A1:N49"/>
  <sheetViews>
    <sheetView zoomScalePageLayoutView="0" workbookViewId="0" topLeftCell="A32">
      <selection activeCell="F41" sqref="F41:G41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8" s="59" customFormat="1" ht="16.5" customHeight="1">
      <c r="A7" s="59" t="s">
        <v>2</v>
      </c>
      <c r="F7" s="60" t="s">
        <v>211</v>
      </c>
      <c r="H7" s="60"/>
    </row>
    <row r="8" spans="1:8" s="59" customFormat="1" ht="12.75">
      <c r="A8" s="59" t="s">
        <v>3</v>
      </c>
      <c r="F8" s="301" t="s">
        <v>460</v>
      </c>
      <c r="H8" s="60"/>
    </row>
    <row r="9" spans="1:11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461</v>
      </c>
      <c r="B13" s="64"/>
      <c r="C13" s="64"/>
      <c r="D13" s="69"/>
      <c r="E13" s="70"/>
      <c r="F13" s="70"/>
      <c r="G13" s="65">
        <f>'[2]Нефтебаза 4'!$G$34</f>
        <v>169970.5383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4" s="59" customFormat="1" ht="14.25">
      <c r="A16" s="75" t="s">
        <v>14</v>
      </c>
      <c r="B16" s="41" t="s">
        <v>15</v>
      </c>
      <c r="C16" s="97">
        <f>C17+C18+C19+C20</f>
        <v>9.879999999999999</v>
      </c>
      <c r="D16" s="76">
        <v>312624.77</v>
      </c>
      <c r="E16" s="76">
        <v>316973.48</v>
      </c>
      <c r="F16" s="76">
        <f aca="true" t="shared" si="0" ref="F16:F23">D16</f>
        <v>312624.77</v>
      </c>
      <c r="G16" s="77">
        <f>D16-E16</f>
        <v>-4348.709999999963</v>
      </c>
      <c r="H16" s="78">
        <f>C16</f>
        <v>9.879999999999999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109481.95386639678</v>
      </c>
      <c r="E17" s="83">
        <f>E16*I17</f>
        <v>111004.88267206478</v>
      </c>
      <c r="F17" s="83">
        <f t="shared" si="0"/>
        <v>109481.95386639678</v>
      </c>
      <c r="G17" s="84">
        <f>D17-E17</f>
        <v>-1522.9288056679943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53475.28960526316</v>
      </c>
      <c r="E18" s="83">
        <f>E16*I18</f>
        <v>54219.14789473684</v>
      </c>
      <c r="F18" s="83">
        <f t="shared" si="0"/>
        <v>53475.28960526316</v>
      </c>
      <c r="G18" s="84">
        <f>D18-E18</f>
        <v>-743.8582894736755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82">
        <v>1.69</v>
      </c>
      <c r="D19" s="83">
        <f>D16*I19</f>
        <v>53475.28960526316</v>
      </c>
      <c r="E19" s="83">
        <f>E16*I19</f>
        <v>54219.14789473684</v>
      </c>
      <c r="F19" s="83">
        <f t="shared" si="0"/>
        <v>53475.28960526316</v>
      </c>
      <c r="G19" s="84">
        <f>D19-E19</f>
        <v>-743.8582894736755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96192.23692307694</v>
      </c>
      <c r="E20" s="83">
        <f>E16*I20</f>
        <v>97530.30153846154</v>
      </c>
      <c r="F20" s="83">
        <f t="shared" si="0"/>
        <v>96192.23692307694</v>
      </c>
      <c r="G20" s="84">
        <f>D20-E20</f>
        <v>-1338.0646153846028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209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371</v>
      </c>
      <c r="C22" s="46" t="s">
        <v>801</v>
      </c>
      <c r="D22" s="87">
        <v>78980</v>
      </c>
      <c r="E22" s="87">
        <v>77251.24</v>
      </c>
      <c r="F22" s="87">
        <f t="shared" si="0"/>
        <v>78980</v>
      </c>
      <c r="G22" s="77">
        <f t="shared" si="1"/>
        <v>1728.7599999999948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1.86</v>
      </c>
      <c r="D24" s="87">
        <v>58192.62</v>
      </c>
      <c r="E24" s="87">
        <v>57122.78</v>
      </c>
      <c r="F24" s="87">
        <f>F38</f>
        <v>54549.6478</v>
      </c>
      <c r="G24" s="77">
        <f t="shared" si="1"/>
        <v>1069.8400000000038</v>
      </c>
      <c r="H24" s="88"/>
      <c r="I24" s="88"/>
      <c r="J24" s="88"/>
      <c r="K24" s="88"/>
    </row>
    <row r="25" spans="1:11" ht="14.25">
      <c r="A25" s="41" t="s">
        <v>33</v>
      </c>
      <c r="B25" s="41" t="s">
        <v>161</v>
      </c>
      <c r="C25" s="97">
        <v>1902.11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430280.33</v>
      </c>
      <c r="E26" s="77">
        <f>SUM(E27:E30)</f>
        <v>433856.89</v>
      </c>
      <c r="F26" s="77">
        <f>SUM(F27:F30)</f>
        <v>429714.24</v>
      </c>
      <c r="G26" s="77">
        <f t="shared" si="1"/>
        <v>-3576.5599999999977</v>
      </c>
      <c r="H26" s="98"/>
      <c r="I26" s="98"/>
      <c r="J26" s="98"/>
      <c r="K26" s="98"/>
    </row>
    <row r="27" spans="1:7" ht="15">
      <c r="A27" s="34" t="s">
        <v>37</v>
      </c>
      <c r="B27" s="34" t="s">
        <v>165</v>
      </c>
      <c r="C27" s="285">
        <v>6</v>
      </c>
      <c r="D27" s="84">
        <v>25599.84</v>
      </c>
      <c r="E27" s="84">
        <v>25033.75</v>
      </c>
      <c r="F27" s="84">
        <v>25033.75</v>
      </c>
      <c r="G27" s="84">
        <f t="shared" si="1"/>
        <v>566.0900000000001</v>
      </c>
    </row>
    <row r="28" spans="1:7" ht="15">
      <c r="A28" s="34" t="s">
        <v>39</v>
      </c>
      <c r="B28" s="34" t="s">
        <v>137</v>
      </c>
      <c r="C28" s="285">
        <v>57.08</v>
      </c>
      <c r="D28" s="84">
        <v>404680.49</v>
      </c>
      <c r="E28" s="84">
        <v>403285.07</v>
      </c>
      <c r="F28" s="84">
        <f>D28</f>
        <v>404680.49</v>
      </c>
      <c r="G28" s="84">
        <f t="shared" si="1"/>
        <v>1395.4199999999837</v>
      </c>
    </row>
    <row r="29" spans="1:7" ht="15">
      <c r="A29" s="34" t="s">
        <v>42</v>
      </c>
      <c r="B29" s="34" t="s">
        <v>340</v>
      </c>
      <c r="C29" s="286">
        <v>0</v>
      </c>
      <c r="D29" s="210">
        <v>0</v>
      </c>
      <c r="E29" s="210">
        <v>0</v>
      </c>
      <c r="F29" s="84">
        <f>D29</f>
        <v>0</v>
      </c>
      <c r="G29" s="84">
        <f t="shared" si="1"/>
        <v>0</v>
      </c>
    </row>
    <row r="30" spans="1:7" ht="15">
      <c r="A30" s="34" t="s">
        <v>41</v>
      </c>
      <c r="B30" s="34" t="s">
        <v>43</v>
      </c>
      <c r="C30" s="285">
        <v>2638.8</v>
      </c>
      <c r="D30" s="84">
        <v>0</v>
      </c>
      <c r="E30" s="84">
        <v>5538.07</v>
      </c>
      <c r="F30" s="84">
        <f>D30</f>
        <v>0</v>
      </c>
      <c r="G30" s="84">
        <f t="shared" si="1"/>
        <v>-5538.07</v>
      </c>
    </row>
    <row r="31" spans="1:9" s="102" customFormat="1" ht="21" customHeight="1" thickBot="1">
      <c r="A31" s="446" t="s">
        <v>294</v>
      </c>
      <c r="B31" s="447"/>
      <c r="C31" s="447"/>
      <c r="D31" s="448"/>
      <c r="E31" s="448"/>
      <c r="F31" s="448"/>
      <c r="G31" s="101"/>
      <c r="H31" s="101"/>
      <c r="I31" s="101"/>
    </row>
    <row r="32" spans="1:9" s="67" customFormat="1" ht="15.75" thickBot="1">
      <c r="A32" s="455" t="s">
        <v>413</v>
      </c>
      <c r="B32" s="456"/>
      <c r="C32" s="456"/>
      <c r="D32" s="65">
        <v>196817.02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415</v>
      </c>
      <c r="B34" s="64"/>
      <c r="C34" s="64"/>
      <c r="D34" s="69"/>
      <c r="E34" s="70"/>
      <c r="F34" s="70"/>
      <c r="G34" s="144">
        <f>G13+E24-F24</f>
        <v>172543.67049999998</v>
      </c>
      <c r="H34" s="62"/>
      <c r="I34" s="62"/>
    </row>
    <row r="35" spans="1:11" ht="31.5" customHeight="1">
      <c r="A35" s="616" t="s">
        <v>179</v>
      </c>
      <c r="B35" s="617"/>
      <c r="C35" s="617"/>
      <c r="D35" s="617"/>
      <c r="E35" s="617"/>
      <c r="F35" s="617"/>
      <c r="G35" s="617"/>
      <c r="H35" s="58"/>
      <c r="I35" s="58"/>
      <c r="J35" s="58"/>
      <c r="K35" s="58"/>
    </row>
    <row r="37" spans="1:12" s="74" customFormat="1" ht="37.5" customHeight="1">
      <c r="A37" s="105" t="s">
        <v>11</v>
      </c>
      <c r="B37" s="471" t="s">
        <v>45</v>
      </c>
      <c r="C37" s="484"/>
      <c r="D37" s="105" t="s">
        <v>163</v>
      </c>
      <c r="E37" s="105" t="s">
        <v>162</v>
      </c>
      <c r="F37" s="471" t="s">
        <v>46</v>
      </c>
      <c r="G37" s="484"/>
      <c r="H37" s="244"/>
      <c r="I37" s="245"/>
      <c r="L37" s="108"/>
    </row>
    <row r="38" spans="1:12" s="114" customFormat="1" ht="15" customHeight="1">
      <c r="A38" s="109" t="s">
        <v>47</v>
      </c>
      <c r="B38" s="473" t="s">
        <v>111</v>
      </c>
      <c r="C38" s="491"/>
      <c r="D38" s="110"/>
      <c r="E38" s="110"/>
      <c r="F38" s="496">
        <f>SUM(F39:G43)</f>
        <v>54549.6478</v>
      </c>
      <c r="G38" s="483"/>
      <c r="H38" s="246"/>
      <c r="I38" s="247"/>
      <c r="L38" s="115"/>
    </row>
    <row r="39" spans="1:12" ht="15">
      <c r="A39" s="34" t="s">
        <v>16</v>
      </c>
      <c r="B39" s="462" t="s">
        <v>673</v>
      </c>
      <c r="C39" s="498"/>
      <c r="D39" s="403" t="s">
        <v>217</v>
      </c>
      <c r="E39" s="406">
        <v>0.01</v>
      </c>
      <c r="F39" s="497">
        <v>788.42</v>
      </c>
      <c r="G39" s="497"/>
      <c r="H39" s="248"/>
      <c r="I39" s="249"/>
      <c r="L39" s="119"/>
    </row>
    <row r="40" spans="1:12" ht="15">
      <c r="A40" s="34" t="s">
        <v>18</v>
      </c>
      <c r="B40" s="462" t="s">
        <v>567</v>
      </c>
      <c r="C40" s="498"/>
      <c r="D40" s="403" t="s">
        <v>164</v>
      </c>
      <c r="E40" s="406">
        <v>1</v>
      </c>
      <c r="F40" s="497">
        <v>4970</v>
      </c>
      <c r="G40" s="497"/>
      <c r="H40" s="40"/>
      <c r="I40" s="40"/>
      <c r="L40" s="119"/>
    </row>
    <row r="41" spans="1:12" ht="15">
      <c r="A41" s="34" t="s">
        <v>20</v>
      </c>
      <c r="B41" s="462" t="s">
        <v>538</v>
      </c>
      <c r="C41" s="498"/>
      <c r="D41" s="403" t="s">
        <v>164</v>
      </c>
      <c r="E41" s="406">
        <v>1</v>
      </c>
      <c r="F41" s="497">
        <v>37020</v>
      </c>
      <c r="G41" s="497"/>
      <c r="H41" s="40"/>
      <c r="I41" s="40"/>
      <c r="L41" s="119"/>
    </row>
    <row r="42" spans="1:12" ht="15">
      <c r="A42" s="34" t="s">
        <v>22</v>
      </c>
      <c r="B42" s="449" t="s">
        <v>814</v>
      </c>
      <c r="C42" s="641"/>
      <c r="D42" s="118" t="s">
        <v>391</v>
      </c>
      <c r="E42" s="152">
        <v>4</v>
      </c>
      <c r="F42" s="495">
        <v>11200</v>
      </c>
      <c r="G42" s="495"/>
      <c r="H42" s="40"/>
      <c r="I42" s="40"/>
      <c r="L42" s="119"/>
    </row>
    <row r="43" spans="1:11" s="67" customFormat="1" ht="15">
      <c r="A43" s="34" t="s">
        <v>24</v>
      </c>
      <c r="B43" s="511" t="s">
        <v>188</v>
      </c>
      <c r="C43" s="512"/>
      <c r="D43" s="123"/>
      <c r="E43" s="123"/>
      <c r="F43" s="495">
        <f>E24*1%</f>
        <v>571.2278</v>
      </c>
      <c r="G43" s="495"/>
      <c r="H43" s="59"/>
      <c r="I43" s="59"/>
      <c r="J43" s="59"/>
      <c r="K43" s="59"/>
    </row>
    <row r="44" s="59" customFormat="1" ht="12.75"/>
    <row r="45" spans="1:10" s="59" customFormat="1" ht="15">
      <c r="A45" s="67" t="s">
        <v>55</v>
      </c>
      <c r="B45" s="67"/>
      <c r="C45" s="125" t="s">
        <v>49</v>
      </c>
      <c r="D45" s="67"/>
      <c r="E45" s="67"/>
      <c r="F45" s="67" t="s">
        <v>90</v>
      </c>
      <c r="G45" s="67"/>
      <c r="H45" s="156"/>
      <c r="I45" s="156"/>
      <c r="J45" s="156"/>
    </row>
    <row r="46" spans="1:11" ht="15">
      <c r="A46" s="67"/>
      <c r="B46" s="67"/>
      <c r="C46" s="125"/>
      <c r="D46" s="67"/>
      <c r="E46" s="67"/>
      <c r="F46" s="126" t="s">
        <v>545</v>
      </c>
      <c r="G46" s="67"/>
      <c r="H46" s="59"/>
      <c r="I46" s="59"/>
      <c r="J46" s="59"/>
      <c r="K46" s="59"/>
    </row>
    <row r="47" spans="1:11" ht="15">
      <c r="A47" s="67" t="s">
        <v>50</v>
      </c>
      <c r="B47" s="67"/>
      <c r="C47" s="125"/>
      <c r="D47" s="67"/>
      <c r="E47" s="67"/>
      <c r="F47" s="67"/>
      <c r="G47" s="67"/>
      <c r="H47" s="59"/>
      <c r="I47" s="59"/>
      <c r="J47" s="59"/>
      <c r="K47" s="59"/>
    </row>
    <row r="48" spans="1:7" ht="15">
      <c r="A48" s="67"/>
      <c r="B48" s="67"/>
      <c r="C48" s="127" t="s">
        <v>51</v>
      </c>
      <c r="D48" s="67"/>
      <c r="E48" s="128"/>
      <c r="F48" s="128"/>
      <c r="G48" s="128"/>
    </row>
    <row r="49" spans="1:7" ht="12.75">
      <c r="A49" s="59"/>
      <c r="B49" s="59"/>
      <c r="C49" s="59"/>
      <c r="D49" s="59"/>
      <c r="E49" s="59"/>
      <c r="F49" s="59"/>
      <c r="G49" s="59"/>
    </row>
  </sheetData>
  <sheetProtection/>
  <mergeCells count="24">
    <mergeCell ref="B42:C42"/>
    <mergeCell ref="F42:G42"/>
    <mergeCell ref="B43:C43"/>
    <mergeCell ref="F43:G43"/>
    <mergeCell ref="B38:C38"/>
    <mergeCell ref="F38:G38"/>
    <mergeCell ref="B39:C39"/>
    <mergeCell ref="F39:G39"/>
    <mergeCell ref="B40:C40"/>
    <mergeCell ref="B41:C41"/>
    <mergeCell ref="F40:G40"/>
    <mergeCell ref="F41:G41"/>
    <mergeCell ref="A11:K11"/>
    <mergeCell ref="A32:C32"/>
    <mergeCell ref="B37:C37"/>
    <mergeCell ref="F37:G37"/>
    <mergeCell ref="A35:G35"/>
    <mergeCell ref="A31:F31"/>
    <mergeCell ref="A1:K1"/>
    <mergeCell ref="A2:K2"/>
    <mergeCell ref="A3:K3"/>
    <mergeCell ref="A5:K5"/>
    <mergeCell ref="A9:K9"/>
    <mergeCell ref="A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7030A0"/>
  </sheetPr>
  <dimension ref="A1:P48"/>
  <sheetViews>
    <sheetView zoomScalePageLayoutView="0" workbookViewId="0" topLeftCell="A31">
      <selection activeCell="B41" sqref="B41:G41"/>
    </sheetView>
  </sheetViews>
  <sheetFormatPr defaultColWidth="9.140625" defaultRowHeight="15" outlineLevelCol="1"/>
  <cols>
    <col min="1" max="1" width="5.57421875" style="57" customWidth="1"/>
    <col min="2" max="2" width="51.8515625" style="57" customWidth="1"/>
    <col min="3" max="3" width="15.7109375" style="57" customWidth="1"/>
    <col min="4" max="4" width="14.8515625" style="57" customWidth="1"/>
    <col min="5" max="5" width="13.140625" style="57" customWidth="1"/>
    <col min="6" max="6" width="12.85156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13" s="59" customFormat="1" ht="16.5" customHeight="1">
      <c r="A7" s="59" t="s">
        <v>2</v>
      </c>
      <c r="F7" s="60" t="s">
        <v>156</v>
      </c>
      <c r="H7" s="60"/>
      <c r="L7" s="251"/>
      <c r="M7" s="251"/>
    </row>
    <row r="8" spans="1:8" s="59" customFormat="1" ht="12.75">
      <c r="A8" s="59" t="s">
        <v>3</v>
      </c>
      <c r="F8" s="301" t="s">
        <v>307</v>
      </c>
      <c r="H8" s="60"/>
    </row>
    <row r="9" spans="1:11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438</v>
      </c>
      <c r="B13" s="64"/>
      <c r="C13" s="64"/>
      <c r="D13" s="69"/>
      <c r="E13" s="70"/>
      <c r="F13" s="70"/>
      <c r="G13" s="65">
        <f>'[2]Нефтебаза 5'!$G$34</f>
        <v>417301.0436999999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6" s="59" customFormat="1" ht="14.25">
      <c r="A16" s="75" t="s">
        <v>14</v>
      </c>
      <c r="B16" s="41" t="s">
        <v>15</v>
      </c>
      <c r="C16" s="135">
        <f>C17+C18+C19+C20</f>
        <v>9.879999999999999</v>
      </c>
      <c r="D16" s="76">
        <v>262911.68</v>
      </c>
      <c r="E16" s="76">
        <v>263419.2</v>
      </c>
      <c r="F16" s="76">
        <f aca="true" t="shared" si="0" ref="F16:F22">D16</f>
        <v>262911.68</v>
      </c>
      <c r="G16" s="77">
        <f>D16-E16</f>
        <v>-507.5200000000186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92072.30898785425</v>
      </c>
      <c r="E17" s="83">
        <f>E16*I17</f>
        <v>92250.04372469637</v>
      </c>
      <c r="F17" s="83">
        <f t="shared" si="0"/>
        <v>92072.30898785425</v>
      </c>
      <c r="G17" s="84">
        <f>D17-E17</f>
        <v>-177.73473684211785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44971.7347368421</v>
      </c>
      <c r="E18" s="83">
        <f>E16*I18</f>
        <v>45058.54736842106</v>
      </c>
      <c r="F18" s="83">
        <f t="shared" si="0"/>
        <v>44971.7347368421</v>
      </c>
      <c r="G18" s="84">
        <f>D18-E18</f>
        <v>-86.81263157895592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44971.7347368421</v>
      </c>
      <c r="E19" s="83">
        <f>E16*I19</f>
        <v>45058.54736842106</v>
      </c>
      <c r="F19" s="83">
        <f t="shared" si="0"/>
        <v>44971.7347368421</v>
      </c>
      <c r="G19" s="84">
        <f>D19-E19</f>
        <v>-86.81263157895592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80895.90153846153</v>
      </c>
      <c r="E20" s="83">
        <f>E16*I20</f>
        <v>81052.06153846155</v>
      </c>
      <c r="F20" s="83">
        <f t="shared" si="0"/>
        <v>80895.90153846153</v>
      </c>
      <c r="G20" s="84">
        <f>D20-E20</f>
        <v>-156.16000000001804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462</v>
      </c>
      <c r="C21" s="97" t="s">
        <v>798</v>
      </c>
      <c r="D21" s="87">
        <v>46800</v>
      </c>
      <c r="E21" s="87">
        <v>43328.59</v>
      </c>
      <c r="F21" s="87">
        <f t="shared" si="0"/>
        <v>46800</v>
      </c>
      <c r="G21" s="77">
        <f aca="true" t="shared" si="1" ref="G21:G30">D21-E21</f>
        <v>3471.4100000000035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/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1">
        <v>0</v>
      </c>
      <c r="D23" s="87">
        <v>0</v>
      </c>
      <c r="E23" s="87">
        <v>0</v>
      </c>
      <c r="F23" s="87"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87">
        <v>10</v>
      </c>
      <c r="D24" s="87">
        <v>238902</v>
      </c>
      <c r="E24" s="87">
        <v>239549.89</v>
      </c>
      <c r="F24" s="87">
        <f>F39</f>
        <v>49365.4989</v>
      </c>
      <c r="G24" s="77">
        <f t="shared" si="1"/>
        <v>-647.890000000014</v>
      </c>
      <c r="H24" s="88"/>
      <c r="I24" s="88"/>
      <c r="J24" s="88"/>
      <c r="K24" s="88"/>
    </row>
    <row r="25" spans="1:11" ht="14.25">
      <c r="A25" s="41" t="s">
        <v>33</v>
      </c>
      <c r="B25" s="41" t="s">
        <v>161</v>
      </c>
      <c r="C25" s="77" t="s">
        <v>297</v>
      </c>
      <c r="D25" s="77"/>
      <c r="E25" s="77"/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1129507.13</v>
      </c>
      <c r="E26" s="77">
        <f>SUM(E27:E30)</f>
        <v>1088378.46</v>
      </c>
      <c r="F26" s="77">
        <f>SUM(F27:F30)</f>
        <v>1129507.13</v>
      </c>
      <c r="G26" s="77">
        <f t="shared" si="1"/>
        <v>41128.669999999925</v>
      </c>
      <c r="H26" s="98"/>
      <c r="I26" s="98"/>
      <c r="J26" s="98"/>
      <c r="K26" s="98"/>
    </row>
    <row r="27" spans="1:7" ht="15">
      <c r="A27" s="34" t="s">
        <v>37</v>
      </c>
      <c r="B27" s="34" t="s">
        <v>165</v>
      </c>
      <c r="C27" s="285">
        <v>6</v>
      </c>
      <c r="D27" s="84">
        <v>29712.73</v>
      </c>
      <c r="E27" s="84">
        <v>29430.81</v>
      </c>
      <c r="F27" s="84">
        <f>D27</f>
        <v>29712.73</v>
      </c>
      <c r="G27" s="84">
        <f t="shared" si="1"/>
        <v>281.91999999999825</v>
      </c>
    </row>
    <row r="28" spans="1:7" ht="15">
      <c r="A28" s="34" t="s">
        <v>39</v>
      </c>
      <c r="B28" s="34" t="s">
        <v>137</v>
      </c>
      <c r="C28" s="285">
        <v>57.08</v>
      </c>
      <c r="D28" s="84">
        <v>328256.89</v>
      </c>
      <c r="E28" s="84">
        <v>301122.86</v>
      </c>
      <c r="F28" s="84">
        <f>D28</f>
        <v>328256.89</v>
      </c>
      <c r="G28" s="84">
        <f t="shared" si="1"/>
        <v>27134.030000000028</v>
      </c>
    </row>
    <row r="29" spans="1:7" ht="15">
      <c r="A29" s="34" t="s">
        <v>42</v>
      </c>
      <c r="B29" s="34" t="s">
        <v>340</v>
      </c>
      <c r="C29" s="286">
        <v>0</v>
      </c>
      <c r="D29" s="84">
        <v>0</v>
      </c>
      <c r="E29" s="84">
        <v>0</v>
      </c>
      <c r="F29" s="84">
        <f>D29</f>
        <v>0</v>
      </c>
      <c r="G29" s="84">
        <f t="shared" si="1"/>
        <v>0</v>
      </c>
    </row>
    <row r="30" spans="1:7" ht="15">
      <c r="A30" s="34" t="s">
        <v>41</v>
      </c>
      <c r="B30" s="34" t="s">
        <v>43</v>
      </c>
      <c r="C30" s="285">
        <v>2638.8</v>
      </c>
      <c r="D30" s="84">
        <v>771537.51</v>
      </c>
      <c r="E30" s="84">
        <v>757824.79</v>
      </c>
      <c r="F30" s="84">
        <f>D30</f>
        <v>771537.51</v>
      </c>
      <c r="G30" s="84">
        <f t="shared" si="1"/>
        <v>13712.719999999972</v>
      </c>
    </row>
    <row r="31" spans="1:9" s="102" customFormat="1" ht="18.75" customHeight="1" thickBot="1">
      <c r="A31" s="446" t="s">
        <v>294</v>
      </c>
      <c r="B31" s="447"/>
      <c r="C31" s="447"/>
      <c r="D31" s="448"/>
      <c r="E31" s="448"/>
      <c r="F31" s="448"/>
      <c r="G31" s="101"/>
      <c r="H31" s="101"/>
      <c r="I31" s="101"/>
    </row>
    <row r="32" spans="1:9" s="67" customFormat="1" ht="15.75" thickBot="1">
      <c r="A32" s="455" t="s">
        <v>413</v>
      </c>
      <c r="B32" s="456"/>
      <c r="C32" s="456"/>
      <c r="D32" s="65">
        <v>531371.41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451</v>
      </c>
      <c r="B34" s="64"/>
      <c r="C34" s="64"/>
      <c r="D34" s="69"/>
      <c r="E34" s="70"/>
      <c r="F34" s="70"/>
      <c r="G34" s="144">
        <f>G13+E24-F24</f>
        <v>607485.4347999999</v>
      </c>
      <c r="H34" s="62"/>
      <c r="I34" s="62"/>
    </row>
    <row r="35" spans="1:13" s="102" customFormat="1" ht="13.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3" s="102" customFormat="1" ht="27" customHeight="1">
      <c r="A36" s="444" t="s">
        <v>44</v>
      </c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101"/>
      <c r="M36" s="101"/>
    </row>
    <row r="38" spans="1:11" ht="28.5">
      <c r="A38" s="105" t="s">
        <v>11</v>
      </c>
      <c r="B38" s="471" t="s">
        <v>45</v>
      </c>
      <c r="C38" s="484"/>
      <c r="D38" s="105" t="s">
        <v>163</v>
      </c>
      <c r="E38" s="105" t="s">
        <v>162</v>
      </c>
      <c r="F38" s="471" t="s">
        <v>46</v>
      </c>
      <c r="G38" s="484"/>
      <c r="H38" s="244"/>
      <c r="I38" s="245"/>
      <c r="J38" s="74"/>
      <c r="K38" s="74"/>
    </row>
    <row r="39" spans="1:14" s="74" customFormat="1" ht="15">
      <c r="A39" s="109" t="s">
        <v>47</v>
      </c>
      <c r="B39" s="473" t="s">
        <v>111</v>
      </c>
      <c r="C39" s="491"/>
      <c r="D39" s="110"/>
      <c r="E39" s="110"/>
      <c r="F39" s="496">
        <f>SUM(F40:G42)</f>
        <v>49365.4989</v>
      </c>
      <c r="G39" s="483"/>
      <c r="H39" s="246"/>
      <c r="I39" s="247"/>
      <c r="J39" s="114"/>
      <c r="K39" s="114"/>
      <c r="N39" s="108"/>
    </row>
    <row r="40" spans="1:14" s="114" customFormat="1" ht="15">
      <c r="A40" s="34" t="s">
        <v>16</v>
      </c>
      <c r="B40" s="462" t="s">
        <v>538</v>
      </c>
      <c r="C40" s="498"/>
      <c r="D40" s="403" t="s">
        <v>164</v>
      </c>
      <c r="E40" s="406">
        <v>1</v>
      </c>
      <c r="F40" s="497">
        <v>35770</v>
      </c>
      <c r="G40" s="497"/>
      <c r="H40" s="40"/>
      <c r="I40" s="40"/>
      <c r="J40" s="57"/>
      <c r="K40" s="57"/>
      <c r="N40" s="115"/>
    </row>
    <row r="41" spans="1:14" s="114" customFormat="1" ht="15">
      <c r="A41" s="34" t="s">
        <v>18</v>
      </c>
      <c r="B41" s="449" t="s">
        <v>814</v>
      </c>
      <c r="C41" s="641"/>
      <c r="D41" s="118" t="s">
        <v>391</v>
      </c>
      <c r="E41" s="152">
        <v>4</v>
      </c>
      <c r="F41" s="495">
        <v>11200</v>
      </c>
      <c r="G41" s="495"/>
      <c r="H41" s="40"/>
      <c r="I41" s="40"/>
      <c r="J41" s="57"/>
      <c r="K41" s="57"/>
      <c r="N41" s="115"/>
    </row>
    <row r="42" spans="1:7" s="59" customFormat="1" ht="15">
      <c r="A42" s="34" t="s">
        <v>20</v>
      </c>
      <c r="B42" s="511" t="s">
        <v>188</v>
      </c>
      <c r="C42" s="512"/>
      <c r="D42" s="123"/>
      <c r="E42" s="123"/>
      <c r="F42" s="495">
        <f>E24*1%</f>
        <v>2395.4989</v>
      </c>
      <c r="G42" s="495"/>
    </row>
    <row r="43" spans="1:11" s="67" customFormat="1" ht="1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</row>
    <row r="44" spans="1:11" s="59" customFormat="1" ht="15">
      <c r="A44" s="67" t="s">
        <v>55</v>
      </c>
      <c r="B44" s="67"/>
      <c r="C44" s="125" t="s">
        <v>49</v>
      </c>
      <c r="D44" s="67"/>
      <c r="E44" s="67"/>
      <c r="F44" s="67" t="s">
        <v>90</v>
      </c>
      <c r="G44" s="67"/>
      <c r="H44" s="67"/>
      <c r="I44" s="67"/>
      <c r="J44" s="67"/>
      <c r="K44" s="67"/>
    </row>
    <row r="45" spans="1:7" s="59" customFormat="1" ht="15">
      <c r="A45" s="67"/>
      <c r="B45" s="67"/>
      <c r="C45" s="125"/>
      <c r="D45" s="67"/>
      <c r="E45" s="67"/>
      <c r="F45" s="126" t="s">
        <v>545</v>
      </c>
      <c r="G45" s="67"/>
    </row>
    <row r="46" spans="1:10" s="59" customFormat="1" ht="15">
      <c r="A46" s="67" t="s">
        <v>50</v>
      </c>
      <c r="B46" s="67"/>
      <c r="C46" s="125"/>
      <c r="D46" s="67"/>
      <c r="E46" s="67"/>
      <c r="F46" s="67"/>
      <c r="G46" s="67"/>
      <c r="H46" s="156"/>
      <c r="I46" s="156"/>
      <c r="J46" s="156"/>
    </row>
    <row r="47" spans="1:7" s="59" customFormat="1" ht="15">
      <c r="A47" s="67"/>
      <c r="B47" s="67"/>
      <c r="C47" s="127" t="s">
        <v>51</v>
      </c>
      <c r="D47" s="67"/>
      <c r="E47" s="128"/>
      <c r="F47" s="128"/>
      <c r="G47" s="128"/>
    </row>
    <row r="48" spans="1:11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</row>
  </sheetData>
  <sheetProtection/>
  <mergeCells count="20">
    <mergeCell ref="B41:C41"/>
    <mergeCell ref="F41:G41"/>
    <mergeCell ref="B42:C42"/>
    <mergeCell ref="F42:G42"/>
    <mergeCell ref="A10:K10"/>
    <mergeCell ref="A11:K11"/>
    <mergeCell ref="A32:C32"/>
    <mergeCell ref="A36:K36"/>
    <mergeCell ref="B38:C38"/>
    <mergeCell ref="A31:F31"/>
    <mergeCell ref="B39:C39"/>
    <mergeCell ref="F39:G39"/>
    <mergeCell ref="B40:C40"/>
    <mergeCell ref="F40:G40"/>
    <mergeCell ref="A1:K1"/>
    <mergeCell ref="A2:K2"/>
    <mergeCell ref="A3:K3"/>
    <mergeCell ref="A5:K5"/>
    <mergeCell ref="A9:K9"/>
    <mergeCell ref="F38:G38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7030A0"/>
  </sheetPr>
  <dimension ref="A1:P53"/>
  <sheetViews>
    <sheetView zoomScalePageLayoutView="0" workbookViewId="0" topLeftCell="A39">
      <selection activeCell="F45" sqref="F45:G45"/>
    </sheetView>
  </sheetViews>
  <sheetFormatPr defaultColWidth="9.140625" defaultRowHeight="15" outlineLevelCol="1"/>
  <cols>
    <col min="1" max="1" width="5.57421875" style="57" customWidth="1"/>
    <col min="2" max="2" width="51.8515625" style="57" customWidth="1"/>
    <col min="3" max="3" width="15.7109375" style="57" customWidth="1"/>
    <col min="4" max="4" width="14.8515625" style="57" customWidth="1"/>
    <col min="5" max="6" width="12.85156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10.00390625" style="57" bestFit="1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13" s="59" customFormat="1" ht="16.5" customHeight="1">
      <c r="A7" s="59" t="s">
        <v>2</v>
      </c>
      <c r="F7" s="60" t="s">
        <v>277</v>
      </c>
      <c r="H7" s="60"/>
      <c r="L7" s="251"/>
      <c r="M7" s="251"/>
    </row>
    <row r="8" spans="1:8" s="59" customFormat="1" ht="12.75">
      <c r="A8" s="59" t="s">
        <v>3</v>
      </c>
      <c r="F8" s="301" t="s">
        <v>308</v>
      </c>
      <c r="H8" s="60"/>
    </row>
    <row r="9" spans="1:11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336</v>
      </c>
      <c r="B13" s="64"/>
      <c r="C13" s="64"/>
      <c r="D13" s="69"/>
      <c r="E13" s="70"/>
      <c r="F13" s="70"/>
      <c r="G13" s="65">
        <f>'[2]Нефтебаза 6'!$G$34</f>
        <v>65932.92469999999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6" s="59" customFormat="1" ht="14.25">
      <c r="A16" s="75" t="s">
        <v>14</v>
      </c>
      <c r="B16" s="41" t="s">
        <v>15</v>
      </c>
      <c r="C16" s="135">
        <f>C17+C18+C19+C20</f>
        <v>9.879999999999999</v>
      </c>
      <c r="D16" s="76">
        <v>299045.94</v>
      </c>
      <c r="E16" s="76">
        <v>290434.48</v>
      </c>
      <c r="F16" s="76">
        <f aca="true" t="shared" si="0" ref="F16:F22">D16</f>
        <v>299045.94</v>
      </c>
      <c r="G16" s="77">
        <f>D16-E16</f>
        <v>8611.460000000021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104726.61461538462</v>
      </c>
      <c r="E17" s="83">
        <f>E16*I17</f>
        <v>101710.86040485831</v>
      </c>
      <c r="F17" s="83">
        <f t="shared" si="0"/>
        <v>104726.61461538462</v>
      </c>
      <c r="G17" s="84">
        <f>D17-E17</f>
        <v>3015.754210526313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51152.595</v>
      </c>
      <c r="E18" s="83">
        <f>E16*I18</f>
        <v>49679.58210526316</v>
      </c>
      <c r="F18" s="83">
        <f t="shared" si="0"/>
        <v>51152.595</v>
      </c>
      <c r="G18" s="84">
        <f>D18-E18</f>
        <v>1473.012894736843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51152.595</v>
      </c>
      <c r="E19" s="83">
        <f>E16*I19</f>
        <v>49679.58210526316</v>
      </c>
      <c r="F19" s="83">
        <f t="shared" si="0"/>
        <v>51152.595</v>
      </c>
      <c r="G19" s="84">
        <f>D19-E19</f>
        <v>1473.012894736843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92014.1353846154</v>
      </c>
      <c r="E20" s="83">
        <f>E16*I20</f>
        <v>89364.45538461539</v>
      </c>
      <c r="F20" s="83">
        <f t="shared" si="0"/>
        <v>92014.1353846154</v>
      </c>
      <c r="G20" s="84">
        <f>D20-E20</f>
        <v>2649.6800000000076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462</v>
      </c>
      <c r="C21" s="97" t="s">
        <v>798</v>
      </c>
      <c r="D21" s="87">
        <v>79560</v>
      </c>
      <c r="E21" s="87">
        <v>72988.48</v>
      </c>
      <c r="F21" s="87">
        <f t="shared" si="0"/>
        <v>79560</v>
      </c>
      <c r="G21" s="77">
        <f aca="true" t="shared" si="1" ref="G21:G30">D21-E21</f>
        <v>6571.520000000004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1">
        <v>0</v>
      </c>
      <c r="D23" s="87">
        <v>0</v>
      </c>
      <c r="E23" s="87">
        <v>0</v>
      </c>
      <c r="F23" s="87"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87">
        <v>1.86</v>
      </c>
      <c r="D24" s="87">
        <v>53132.88</v>
      </c>
      <c r="E24" s="87">
        <v>51687.35</v>
      </c>
      <c r="F24" s="87">
        <f>F39</f>
        <v>34102.2135</v>
      </c>
      <c r="G24" s="77">
        <f t="shared" si="1"/>
        <v>1445.5299999999988</v>
      </c>
      <c r="H24" s="88"/>
      <c r="I24" s="88"/>
      <c r="J24" s="88"/>
      <c r="K24" s="88"/>
    </row>
    <row r="25" spans="1:11" ht="14.25">
      <c r="A25" s="41" t="s">
        <v>33</v>
      </c>
      <c r="B25" s="41" t="s">
        <v>161</v>
      </c>
      <c r="C25" s="77">
        <v>12.54</v>
      </c>
      <c r="D25" s="77">
        <v>0</v>
      </c>
      <c r="E25" s="77">
        <v>0</v>
      </c>
      <c r="F25" s="87"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1522502.34</v>
      </c>
      <c r="E26" s="77">
        <f>SUM(E27:E30)</f>
        <v>1495340.2999999998</v>
      </c>
      <c r="F26" s="77">
        <f>SUM(F27:F30)</f>
        <v>1522502.34</v>
      </c>
      <c r="G26" s="77">
        <f t="shared" si="1"/>
        <v>27162.04000000027</v>
      </c>
      <c r="H26" s="98"/>
      <c r="I26" s="98"/>
      <c r="J26" s="98"/>
      <c r="K26" s="98"/>
    </row>
    <row r="27" spans="1:7" ht="15">
      <c r="A27" s="34" t="s">
        <v>37</v>
      </c>
      <c r="B27" s="34" t="s">
        <v>165</v>
      </c>
      <c r="C27" s="285">
        <v>6</v>
      </c>
      <c r="D27" s="84">
        <v>47613.84</v>
      </c>
      <c r="E27" s="84">
        <v>45623.54</v>
      </c>
      <c r="F27" s="84">
        <f>D27</f>
        <v>47613.84</v>
      </c>
      <c r="G27" s="84">
        <f t="shared" si="1"/>
        <v>1990.2999999999956</v>
      </c>
    </row>
    <row r="28" spans="1:7" ht="15">
      <c r="A28" s="34" t="s">
        <v>39</v>
      </c>
      <c r="B28" s="34" t="s">
        <v>137</v>
      </c>
      <c r="C28" s="285">
        <v>57.08</v>
      </c>
      <c r="D28" s="84">
        <v>437157.96</v>
      </c>
      <c r="E28" s="84">
        <v>440304.44</v>
      </c>
      <c r="F28" s="84">
        <f>D28</f>
        <v>437157.96</v>
      </c>
      <c r="G28" s="84">
        <f t="shared" si="1"/>
        <v>-3146.4799999999814</v>
      </c>
    </row>
    <row r="29" spans="1:7" ht="15">
      <c r="A29" s="34" t="s">
        <v>42</v>
      </c>
      <c r="B29" s="34" t="s">
        <v>340</v>
      </c>
      <c r="C29" s="286">
        <v>0</v>
      </c>
      <c r="D29" s="84">
        <v>0</v>
      </c>
      <c r="E29" s="84">
        <v>0</v>
      </c>
      <c r="F29" s="84">
        <f>D29</f>
        <v>0</v>
      </c>
      <c r="G29" s="84">
        <f t="shared" si="1"/>
        <v>0</v>
      </c>
    </row>
    <row r="30" spans="1:7" ht="15">
      <c r="A30" s="34" t="s">
        <v>41</v>
      </c>
      <c r="B30" s="34" t="s">
        <v>43</v>
      </c>
      <c r="C30" s="285">
        <v>2638.8</v>
      </c>
      <c r="D30" s="84">
        <v>1037730.54</v>
      </c>
      <c r="E30" s="84">
        <v>1009412.32</v>
      </c>
      <c r="F30" s="84">
        <f>D30</f>
        <v>1037730.54</v>
      </c>
      <c r="G30" s="84">
        <f t="shared" si="1"/>
        <v>28318.22000000009</v>
      </c>
    </row>
    <row r="31" spans="1:9" s="102" customFormat="1" ht="21.75" customHeight="1" thickBot="1">
      <c r="A31" s="446" t="s">
        <v>294</v>
      </c>
      <c r="B31" s="447"/>
      <c r="C31" s="447"/>
      <c r="D31" s="448"/>
      <c r="E31" s="448"/>
      <c r="F31" s="448"/>
      <c r="G31" s="101"/>
      <c r="H31" s="101"/>
      <c r="I31" s="101"/>
    </row>
    <row r="32" spans="1:9" s="67" customFormat="1" ht="15.75" thickBot="1">
      <c r="A32" s="455" t="s">
        <v>413</v>
      </c>
      <c r="B32" s="456"/>
      <c r="C32" s="456"/>
      <c r="D32" s="65">
        <v>790933.97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4" s="67" customFormat="1" ht="15.75" thickBot="1">
      <c r="A34" s="63" t="s">
        <v>415</v>
      </c>
      <c r="B34" s="64"/>
      <c r="C34" s="64"/>
      <c r="D34" s="69"/>
      <c r="E34" s="70"/>
      <c r="F34" s="70"/>
      <c r="G34" s="144">
        <f>G13+E24-F24</f>
        <v>83518.06119999998</v>
      </c>
      <c r="H34" s="62"/>
      <c r="I34" s="62"/>
      <c r="N34" s="145"/>
    </row>
    <row r="35" spans="1:13" s="102" customFormat="1" ht="13.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3" s="102" customFormat="1" ht="27" customHeight="1">
      <c r="A36" s="444" t="s">
        <v>44</v>
      </c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101"/>
      <c r="M36" s="101"/>
    </row>
    <row r="38" spans="1:11" ht="28.5">
      <c r="A38" s="105" t="s">
        <v>11</v>
      </c>
      <c r="B38" s="471" t="s">
        <v>45</v>
      </c>
      <c r="C38" s="484"/>
      <c r="D38" s="105" t="s">
        <v>163</v>
      </c>
      <c r="E38" s="105" t="s">
        <v>162</v>
      </c>
      <c r="F38" s="471" t="s">
        <v>46</v>
      </c>
      <c r="G38" s="484"/>
      <c r="H38" s="244"/>
      <c r="I38" s="245"/>
      <c r="J38" s="74"/>
      <c r="K38" s="74"/>
    </row>
    <row r="39" spans="1:14" s="74" customFormat="1" ht="15">
      <c r="A39" s="109" t="s">
        <v>47</v>
      </c>
      <c r="B39" s="473" t="s">
        <v>111</v>
      </c>
      <c r="C39" s="491"/>
      <c r="D39" s="110"/>
      <c r="E39" s="110"/>
      <c r="F39" s="496">
        <f>SUM(F40:G47)</f>
        <v>34102.2135</v>
      </c>
      <c r="G39" s="483"/>
      <c r="H39" s="246"/>
      <c r="I39" s="247"/>
      <c r="J39" s="114"/>
      <c r="K39" s="114"/>
      <c r="N39" s="108"/>
    </row>
    <row r="40" spans="1:14" s="114" customFormat="1" ht="15">
      <c r="A40" s="34" t="s">
        <v>16</v>
      </c>
      <c r="B40" s="462" t="s">
        <v>674</v>
      </c>
      <c r="C40" s="489"/>
      <c r="D40" s="403" t="s">
        <v>217</v>
      </c>
      <c r="E40" s="405">
        <v>0.02</v>
      </c>
      <c r="F40" s="525">
        <v>1358.32</v>
      </c>
      <c r="G40" s="526"/>
      <c r="H40" s="248"/>
      <c r="I40" s="249"/>
      <c r="J40" s="57"/>
      <c r="K40" s="57"/>
      <c r="N40" s="115"/>
    </row>
    <row r="41" spans="1:14" s="114" customFormat="1" ht="15">
      <c r="A41" s="34" t="s">
        <v>18</v>
      </c>
      <c r="B41" s="462" t="s">
        <v>657</v>
      </c>
      <c r="C41" s="489"/>
      <c r="D41" s="403" t="s">
        <v>216</v>
      </c>
      <c r="E41" s="405">
        <v>0.06</v>
      </c>
      <c r="F41" s="525">
        <v>6788.46</v>
      </c>
      <c r="G41" s="526"/>
      <c r="H41" s="40"/>
      <c r="I41" s="40"/>
      <c r="J41" s="57"/>
      <c r="K41" s="57"/>
      <c r="N41" s="115"/>
    </row>
    <row r="42" spans="1:14" s="114" customFormat="1" ht="15">
      <c r="A42" s="34" t="s">
        <v>20</v>
      </c>
      <c r="B42" s="462" t="s">
        <v>675</v>
      </c>
      <c r="C42" s="489"/>
      <c r="D42" s="403" t="s">
        <v>217</v>
      </c>
      <c r="E42" s="405">
        <v>0.01</v>
      </c>
      <c r="F42" s="525">
        <v>679.28</v>
      </c>
      <c r="G42" s="526"/>
      <c r="H42" s="40"/>
      <c r="I42" s="40"/>
      <c r="J42" s="57"/>
      <c r="K42" s="57"/>
      <c r="N42" s="115"/>
    </row>
    <row r="43" spans="1:14" s="114" customFormat="1" ht="15">
      <c r="A43" s="34" t="s">
        <v>22</v>
      </c>
      <c r="B43" s="462" t="s">
        <v>592</v>
      </c>
      <c r="C43" s="489"/>
      <c r="D43" s="403" t="s">
        <v>217</v>
      </c>
      <c r="E43" s="405">
        <v>0.01</v>
      </c>
      <c r="F43" s="525">
        <v>679.28</v>
      </c>
      <c r="G43" s="526"/>
      <c r="H43" s="40"/>
      <c r="I43" s="40"/>
      <c r="J43" s="57"/>
      <c r="K43" s="57"/>
      <c r="N43" s="115"/>
    </row>
    <row r="44" spans="1:14" s="114" customFormat="1" ht="15">
      <c r="A44" s="34" t="s">
        <v>24</v>
      </c>
      <c r="B44" s="462" t="s">
        <v>544</v>
      </c>
      <c r="C44" s="489"/>
      <c r="D44" s="403"/>
      <c r="E44" s="405"/>
      <c r="F44" s="525">
        <v>3100</v>
      </c>
      <c r="G44" s="526"/>
      <c r="H44" s="40"/>
      <c r="I44" s="40"/>
      <c r="J44" s="57"/>
      <c r="K44" s="57"/>
      <c r="N44" s="115"/>
    </row>
    <row r="45" spans="1:14" s="114" customFormat="1" ht="15">
      <c r="A45" s="34" t="s">
        <v>103</v>
      </c>
      <c r="B45" s="462" t="s">
        <v>674</v>
      </c>
      <c r="C45" s="489"/>
      <c r="D45" s="403" t="s">
        <v>164</v>
      </c>
      <c r="E45" s="405">
        <v>6</v>
      </c>
      <c r="F45" s="624">
        <v>9780</v>
      </c>
      <c r="G45" s="625"/>
      <c r="H45" s="40"/>
      <c r="I45" s="40"/>
      <c r="J45" s="57"/>
      <c r="K45" s="57"/>
      <c r="N45" s="115"/>
    </row>
    <row r="46" spans="1:14" s="114" customFormat="1" ht="15">
      <c r="A46" s="34" t="s">
        <v>104</v>
      </c>
      <c r="B46" s="449" t="s">
        <v>814</v>
      </c>
      <c r="C46" s="451"/>
      <c r="D46" s="118" t="s">
        <v>391</v>
      </c>
      <c r="E46" s="121">
        <v>4</v>
      </c>
      <c r="F46" s="521">
        <v>11200</v>
      </c>
      <c r="G46" s="522"/>
      <c r="H46" s="40"/>
      <c r="I46" s="40"/>
      <c r="J46" s="57"/>
      <c r="K46" s="57"/>
      <c r="N46" s="115"/>
    </row>
    <row r="47" spans="1:7" s="59" customFormat="1" ht="15">
      <c r="A47" s="34" t="s">
        <v>117</v>
      </c>
      <c r="B47" s="511" t="s">
        <v>188</v>
      </c>
      <c r="C47" s="512"/>
      <c r="D47" s="343"/>
      <c r="E47" s="343"/>
      <c r="F47" s="495">
        <f>E24*1%</f>
        <v>516.8735</v>
      </c>
      <c r="G47" s="495"/>
    </row>
    <row r="48" spans="1:11" s="67" customFormat="1" ht="1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</row>
    <row r="49" spans="1:11" s="59" customFormat="1" ht="15">
      <c r="A49" s="67" t="s">
        <v>55</v>
      </c>
      <c r="B49" s="67"/>
      <c r="C49" s="125" t="s">
        <v>49</v>
      </c>
      <c r="D49" s="67"/>
      <c r="E49" s="67"/>
      <c r="F49" s="67" t="s">
        <v>90</v>
      </c>
      <c r="G49" s="67"/>
      <c r="H49" s="67"/>
      <c r="I49" s="67"/>
      <c r="J49" s="67"/>
      <c r="K49" s="67"/>
    </row>
    <row r="50" spans="1:7" s="59" customFormat="1" ht="15">
      <c r="A50" s="67"/>
      <c r="B50" s="67"/>
      <c r="C50" s="125"/>
      <c r="D50" s="67"/>
      <c r="E50" s="67"/>
      <c r="F50" s="126" t="s">
        <v>545</v>
      </c>
      <c r="G50" s="67"/>
    </row>
    <row r="51" spans="1:10" s="59" customFormat="1" ht="15">
      <c r="A51" s="67" t="s">
        <v>50</v>
      </c>
      <c r="B51" s="67"/>
      <c r="C51" s="125"/>
      <c r="D51" s="67"/>
      <c r="E51" s="67"/>
      <c r="F51" s="67"/>
      <c r="G51" s="67"/>
      <c r="H51" s="156"/>
      <c r="I51" s="156"/>
      <c r="J51" s="156"/>
    </row>
    <row r="52" spans="1:7" s="59" customFormat="1" ht="15">
      <c r="A52" s="67"/>
      <c r="B52" s="67"/>
      <c r="C52" s="127" t="s">
        <v>51</v>
      </c>
      <c r="D52" s="67"/>
      <c r="E52" s="128"/>
      <c r="F52" s="128"/>
      <c r="G52" s="128"/>
    </row>
    <row r="53" spans="1:11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</row>
  </sheetData>
  <sheetProtection/>
  <mergeCells count="30">
    <mergeCell ref="B46:C46"/>
    <mergeCell ref="F46:G46"/>
    <mergeCell ref="B42:C42"/>
    <mergeCell ref="B43:C43"/>
    <mergeCell ref="B44:C44"/>
    <mergeCell ref="B45:C45"/>
    <mergeCell ref="F41:G41"/>
    <mergeCell ref="F42:G42"/>
    <mergeCell ref="F43:G43"/>
    <mergeCell ref="F44:G44"/>
    <mergeCell ref="F45:G45"/>
    <mergeCell ref="B39:C39"/>
    <mergeCell ref="F39:G39"/>
    <mergeCell ref="B38:C38"/>
    <mergeCell ref="F38:G38"/>
    <mergeCell ref="A31:F31"/>
    <mergeCell ref="B47:C47"/>
    <mergeCell ref="F47:G47"/>
    <mergeCell ref="B40:C40"/>
    <mergeCell ref="F40:G40"/>
    <mergeCell ref="B41:C41"/>
    <mergeCell ref="A11:K11"/>
    <mergeCell ref="A32:C32"/>
    <mergeCell ref="A36:K36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7030A0"/>
  </sheetPr>
  <dimension ref="A1:N52"/>
  <sheetViews>
    <sheetView zoomScalePageLayoutView="0" workbookViewId="0" topLeftCell="A34">
      <selection activeCell="F44" sqref="F44:G4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8" s="59" customFormat="1" ht="16.5" customHeight="1">
      <c r="A7" s="59" t="s">
        <v>2</v>
      </c>
      <c r="F7" s="60" t="s">
        <v>157</v>
      </c>
      <c r="H7" s="60"/>
    </row>
    <row r="8" spans="1:8" s="59" customFormat="1" ht="12.75">
      <c r="A8" s="59" t="s">
        <v>3</v>
      </c>
      <c r="F8" s="301" t="s">
        <v>321</v>
      </c>
      <c r="H8" s="60"/>
    </row>
    <row r="9" spans="1:11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336</v>
      </c>
      <c r="B13" s="64"/>
      <c r="C13" s="64"/>
      <c r="D13" s="69"/>
      <c r="E13" s="70"/>
      <c r="F13" s="70"/>
      <c r="G13" s="65">
        <f>'[2]Аэропортовская 14'!$G$35</f>
        <v>179399.43509999997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4" s="59" customFormat="1" ht="14.25">
      <c r="A16" s="75" t="s">
        <v>14</v>
      </c>
      <c r="B16" s="41" t="s">
        <v>15</v>
      </c>
      <c r="C16" s="97">
        <f>C17+C18+C19+C20+C21</f>
        <v>12.850366468676453</v>
      </c>
      <c r="D16" s="76">
        <v>825879.64</v>
      </c>
      <c r="E16" s="76">
        <v>849062.89</v>
      </c>
      <c r="F16" s="76">
        <f aca="true" t="shared" si="0" ref="F16:F21">D16</f>
        <v>825879.64</v>
      </c>
      <c r="G16" s="77">
        <f aca="true" t="shared" si="1" ref="G16:G21">D16-E16</f>
        <v>-23183.25</v>
      </c>
      <c r="H16" s="78">
        <f aca="true" t="shared" si="2" ref="H16:H21">C16</f>
        <v>12.850366468676453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222370.5885248826</v>
      </c>
      <c r="E17" s="83">
        <f>E16*I17</f>
        <v>228612.7486372441</v>
      </c>
      <c r="F17" s="83">
        <f t="shared" si="0"/>
        <v>222370.5885248826</v>
      </c>
      <c r="G17" s="84">
        <f t="shared" si="1"/>
        <v>-6242.160112361511</v>
      </c>
      <c r="H17" s="78">
        <f t="shared" si="2"/>
        <v>3.46</v>
      </c>
      <c r="I17" s="59">
        <f>H17/H16</f>
        <v>0.26925302157210534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108614.53601359871</v>
      </c>
      <c r="E18" s="83">
        <f>E16*I18</f>
        <v>111663.45236905852</v>
      </c>
      <c r="F18" s="83">
        <f t="shared" si="0"/>
        <v>108614.53601359871</v>
      </c>
      <c r="G18" s="84">
        <f t="shared" si="1"/>
        <v>-3048.9163554598053</v>
      </c>
      <c r="H18" s="78">
        <f t="shared" si="2"/>
        <v>1.69</v>
      </c>
      <c r="I18" s="59">
        <f>H18/H16</f>
        <v>0.13151375909157745</v>
      </c>
    </row>
    <row r="19" spans="1:10" s="59" customFormat="1" ht="15">
      <c r="A19" s="81" t="s">
        <v>20</v>
      </c>
      <c r="B19" s="34" t="s">
        <v>21</v>
      </c>
      <c r="C19" s="82">
        <v>2.15</v>
      </c>
      <c r="D19" s="83">
        <f>D16*I19</f>
        <v>138178.2558752883</v>
      </c>
      <c r="E19" s="83">
        <f>E16*I19</f>
        <v>142057.05478903893</v>
      </c>
      <c r="F19" s="83">
        <f t="shared" si="0"/>
        <v>138178.2558752883</v>
      </c>
      <c r="G19" s="84">
        <f t="shared" si="1"/>
        <v>-3878.798913750623</v>
      </c>
      <c r="H19" s="78">
        <f t="shared" si="2"/>
        <v>2.15</v>
      </c>
      <c r="I19" s="59">
        <f>H19/H16</f>
        <v>0.1673104035780423</v>
      </c>
      <c r="J19" s="258"/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195377.62691203557</v>
      </c>
      <c r="E20" s="83">
        <f>E16*I20</f>
        <v>200862.06816682717</v>
      </c>
      <c r="F20" s="83">
        <f t="shared" si="0"/>
        <v>195377.62691203557</v>
      </c>
      <c r="G20" s="84">
        <f t="shared" si="1"/>
        <v>-5484.4412547916</v>
      </c>
      <c r="H20" s="78">
        <f t="shared" si="2"/>
        <v>3.04</v>
      </c>
      <c r="I20" s="59">
        <f>H20/H16</f>
        <v>0.23656912878011566</v>
      </c>
    </row>
    <row r="21" spans="1:10" s="59" customFormat="1" ht="15">
      <c r="A21" s="81" t="s">
        <v>24</v>
      </c>
      <c r="B21" s="34" t="s">
        <v>309</v>
      </c>
      <c r="C21" s="82">
        <f>(140*96)/5353.8</f>
        <v>2.510366468676454</v>
      </c>
      <c r="D21" s="83">
        <f>D16*I21</f>
        <v>161338.63267419487</v>
      </c>
      <c r="E21" s="83">
        <f>E16*I21</f>
        <v>165867.56603783128</v>
      </c>
      <c r="F21" s="83">
        <f t="shared" si="0"/>
        <v>161338.63267419487</v>
      </c>
      <c r="G21" s="84">
        <f t="shared" si="1"/>
        <v>-4528.933363636403</v>
      </c>
      <c r="H21" s="78">
        <f t="shared" si="2"/>
        <v>2.510366468676454</v>
      </c>
      <c r="I21" s="59">
        <f>H21/H16</f>
        <v>0.19535368697815927</v>
      </c>
      <c r="J21" s="61" t="s">
        <v>251</v>
      </c>
    </row>
    <row r="22" spans="1:11" s="89" customFormat="1" ht="14.25">
      <c r="A22" s="86" t="s">
        <v>25</v>
      </c>
      <c r="B22" s="86" t="s">
        <v>26</v>
      </c>
      <c r="C22" s="46">
        <v>0</v>
      </c>
      <c r="D22" s="87">
        <v>0</v>
      </c>
      <c r="E22" s="87">
        <v>0</v>
      </c>
      <c r="F22" s="87">
        <v>0</v>
      </c>
      <c r="G22" s="77">
        <f aca="true" t="shared" si="3" ref="G22:G31">D22-E22</f>
        <v>0</v>
      </c>
      <c r="H22" s="88"/>
      <c r="I22" s="88"/>
      <c r="J22" s="88"/>
      <c r="K22" s="88"/>
    </row>
    <row r="23" spans="1:11" s="89" customFormat="1" ht="14.25">
      <c r="A23" s="86" t="s">
        <v>27</v>
      </c>
      <c r="B23" s="86" t="s">
        <v>28</v>
      </c>
      <c r="C23" s="46"/>
      <c r="D23" s="87">
        <v>0</v>
      </c>
      <c r="E23" s="87">
        <v>0</v>
      </c>
      <c r="F23" s="87">
        <f>D23</f>
        <v>0</v>
      </c>
      <c r="G23" s="77">
        <f t="shared" si="3"/>
        <v>0</v>
      </c>
      <c r="H23" s="88"/>
      <c r="I23" s="88"/>
      <c r="J23" s="88"/>
      <c r="K23" s="88"/>
    </row>
    <row r="24" spans="1:11" s="89" customFormat="1" ht="14.25">
      <c r="A24" s="86" t="s">
        <v>29</v>
      </c>
      <c r="B24" s="86" t="s">
        <v>30</v>
      </c>
      <c r="C24" s="46">
        <v>0</v>
      </c>
      <c r="D24" s="87">
        <v>0</v>
      </c>
      <c r="E24" s="87">
        <v>0</v>
      </c>
      <c r="F24" s="87">
        <v>0</v>
      </c>
      <c r="G24" s="77">
        <f t="shared" si="3"/>
        <v>0</v>
      </c>
      <c r="H24" s="88"/>
      <c r="I24" s="88"/>
      <c r="J24" s="88"/>
      <c r="K24" s="88"/>
    </row>
    <row r="25" spans="1:11" s="89" customFormat="1" ht="14.25">
      <c r="A25" s="86" t="s">
        <v>31</v>
      </c>
      <c r="B25" s="86" t="s">
        <v>116</v>
      </c>
      <c r="C25" s="95">
        <v>2.06</v>
      </c>
      <c r="D25" s="87">
        <v>132346.08</v>
      </c>
      <c r="E25" s="87">
        <v>136613.74</v>
      </c>
      <c r="F25" s="87">
        <f>F40</f>
        <v>251706.1374</v>
      </c>
      <c r="G25" s="77">
        <f t="shared" si="3"/>
        <v>-4267.6600000000035</v>
      </c>
      <c r="H25" s="88"/>
      <c r="I25" s="88"/>
      <c r="J25" s="88"/>
      <c r="K25" s="88"/>
    </row>
    <row r="26" spans="1:11" ht="14.25">
      <c r="A26" s="41" t="s">
        <v>33</v>
      </c>
      <c r="B26" s="41" t="s">
        <v>161</v>
      </c>
      <c r="C26" s="97">
        <v>12.54</v>
      </c>
      <c r="D26" s="77">
        <v>0</v>
      </c>
      <c r="E26" s="77">
        <v>0</v>
      </c>
      <c r="F26" s="87">
        <v>0</v>
      </c>
      <c r="G26" s="77">
        <f t="shared" si="3"/>
        <v>0</v>
      </c>
      <c r="H26" s="98"/>
      <c r="I26" s="98"/>
      <c r="J26" s="98"/>
      <c r="K26" s="98"/>
    </row>
    <row r="27" spans="1:11" ht="14.25">
      <c r="A27" s="41" t="s">
        <v>35</v>
      </c>
      <c r="B27" s="41" t="s">
        <v>36</v>
      </c>
      <c r="C27" s="97">
        <v>0</v>
      </c>
      <c r="D27" s="77">
        <f>SUM(D28:D31)</f>
        <v>3671399.56</v>
      </c>
      <c r="E27" s="77">
        <f>SUM(E28:E31)</f>
        <v>3824215.6399999997</v>
      </c>
      <c r="F27" s="77">
        <f>SUM(F28:F31)</f>
        <v>3671399.56</v>
      </c>
      <c r="G27" s="77">
        <f t="shared" si="3"/>
        <v>-152816.0799999996</v>
      </c>
      <c r="H27" s="98"/>
      <c r="I27" s="98"/>
      <c r="J27" s="98"/>
      <c r="K27" s="98"/>
    </row>
    <row r="28" spans="1:7" ht="15">
      <c r="A28" s="34" t="s">
        <v>37</v>
      </c>
      <c r="B28" s="34" t="s">
        <v>165</v>
      </c>
      <c r="C28" s="285">
        <v>6</v>
      </c>
      <c r="D28" s="84">
        <v>100062.06</v>
      </c>
      <c r="E28" s="84">
        <v>100934.48</v>
      </c>
      <c r="F28" s="84">
        <f>D28</f>
        <v>100062.06</v>
      </c>
      <c r="G28" s="84">
        <f t="shared" si="3"/>
        <v>-872.4199999999983</v>
      </c>
    </row>
    <row r="29" spans="1:7" ht="15">
      <c r="A29" s="34" t="s">
        <v>39</v>
      </c>
      <c r="B29" s="34" t="s">
        <v>137</v>
      </c>
      <c r="C29" s="285">
        <v>57.08</v>
      </c>
      <c r="D29" s="84">
        <v>478123.47</v>
      </c>
      <c r="E29" s="84">
        <v>522841.81</v>
      </c>
      <c r="F29" s="84">
        <f>D29</f>
        <v>478123.47</v>
      </c>
      <c r="G29" s="84">
        <f t="shared" si="3"/>
        <v>-44718.340000000026</v>
      </c>
    </row>
    <row r="30" spans="1:7" ht="15">
      <c r="A30" s="34" t="s">
        <v>42</v>
      </c>
      <c r="B30" s="34" t="s">
        <v>340</v>
      </c>
      <c r="C30" s="286">
        <v>205.05</v>
      </c>
      <c r="D30" s="84">
        <v>759333.11</v>
      </c>
      <c r="E30" s="84">
        <v>820302.07</v>
      </c>
      <c r="F30" s="84">
        <f>D30</f>
        <v>759333.11</v>
      </c>
      <c r="G30" s="84">
        <f t="shared" si="3"/>
        <v>-60968.95999999996</v>
      </c>
    </row>
    <row r="31" spans="1:7" ht="15">
      <c r="A31" s="34" t="s">
        <v>41</v>
      </c>
      <c r="B31" s="34" t="s">
        <v>43</v>
      </c>
      <c r="C31" s="285">
        <v>2638.8</v>
      </c>
      <c r="D31" s="84">
        <v>2333880.92</v>
      </c>
      <c r="E31" s="84">
        <v>2380137.28</v>
      </c>
      <c r="F31" s="84">
        <f>D31</f>
        <v>2333880.92</v>
      </c>
      <c r="G31" s="84">
        <f t="shared" si="3"/>
        <v>-46256.35999999987</v>
      </c>
    </row>
    <row r="32" spans="1:9" s="102" customFormat="1" ht="16.5" customHeight="1" thickBot="1">
      <c r="A32" s="446" t="s">
        <v>294</v>
      </c>
      <c r="B32" s="447"/>
      <c r="C32" s="447"/>
      <c r="D32" s="448"/>
      <c r="E32" s="448"/>
      <c r="F32" s="448"/>
      <c r="G32" s="101"/>
      <c r="H32" s="101"/>
      <c r="I32" s="101"/>
    </row>
    <row r="33" spans="1:9" s="67" customFormat="1" ht="15.75" thickBot="1">
      <c r="A33" s="455" t="s">
        <v>413</v>
      </c>
      <c r="B33" s="456"/>
      <c r="C33" s="456"/>
      <c r="D33" s="65">
        <v>1791592.16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415</v>
      </c>
      <c r="B35" s="64"/>
      <c r="C35" s="64"/>
      <c r="D35" s="69"/>
      <c r="E35" s="70"/>
      <c r="F35" s="70"/>
      <c r="G35" s="144">
        <f>G13+E25-F25</f>
        <v>64307.037699999986</v>
      </c>
      <c r="H35" s="62"/>
      <c r="I35" s="62"/>
    </row>
    <row r="36" spans="1:11" s="102" customFormat="1" ht="13.5">
      <c r="A36" s="104"/>
      <c r="B36" s="104"/>
      <c r="C36" s="104"/>
      <c r="D36" s="104"/>
      <c r="E36" s="101"/>
      <c r="F36" s="101"/>
      <c r="G36" s="101"/>
      <c r="H36" s="101"/>
      <c r="I36" s="101"/>
      <c r="J36" s="101"/>
      <c r="K36" s="101"/>
    </row>
    <row r="37" spans="1:11" ht="31.5" customHeight="1">
      <c r="A37" s="444" t="s">
        <v>179</v>
      </c>
      <c r="B37" s="481"/>
      <c r="C37" s="481"/>
      <c r="D37" s="481"/>
      <c r="E37" s="481"/>
      <c r="F37" s="481"/>
      <c r="G37" s="481"/>
      <c r="H37" s="58"/>
      <c r="I37" s="58"/>
      <c r="J37" s="58"/>
      <c r="K37" s="58"/>
    </row>
    <row r="39" spans="1:12" s="74" customFormat="1" ht="37.5" customHeight="1">
      <c r="A39" s="105" t="s">
        <v>11</v>
      </c>
      <c r="B39" s="598" t="s">
        <v>45</v>
      </c>
      <c r="C39" s="598"/>
      <c r="D39" s="105" t="s">
        <v>163</v>
      </c>
      <c r="E39" s="105" t="s">
        <v>162</v>
      </c>
      <c r="F39" s="598" t="s">
        <v>46</v>
      </c>
      <c r="G39" s="598"/>
      <c r="H39" s="106"/>
      <c r="I39" s="107"/>
      <c r="L39" s="108"/>
    </row>
    <row r="40" spans="1:12" s="114" customFormat="1" ht="15" customHeight="1">
      <c r="A40" s="109" t="s">
        <v>47</v>
      </c>
      <c r="B40" s="597" t="s">
        <v>111</v>
      </c>
      <c r="C40" s="597"/>
      <c r="D40" s="110"/>
      <c r="E40" s="110"/>
      <c r="F40" s="611">
        <f>SUM(F41:G46)</f>
        <v>251706.1374</v>
      </c>
      <c r="G40" s="612"/>
      <c r="H40" s="112"/>
      <c r="I40" s="113"/>
      <c r="L40" s="115"/>
    </row>
    <row r="41" spans="1:12" s="114" customFormat="1" ht="15" customHeight="1">
      <c r="A41" s="34" t="s">
        <v>16</v>
      </c>
      <c r="B41" s="595" t="s">
        <v>541</v>
      </c>
      <c r="C41" s="595"/>
      <c r="D41" s="403"/>
      <c r="E41" s="403"/>
      <c r="F41" s="515">
        <v>216580</v>
      </c>
      <c r="G41" s="515"/>
      <c r="H41" s="112"/>
      <c r="I41" s="113"/>
      <c r="L41" s="115"/>
    </row>
    <row r="42" spans="1:12" s="114" customFormat="1" ht="15" customHeight="1">
      <c r="A42" s="34" t="s">
        <v>18</v>
      </c>
      <c r="B42" s="595" t="s">
        <v>676</v>
      </c>
      <c r="C42" s="595"/>
      <c r="D42" s="403"/>
      <c r="E42" s="403"/>
      <c r="F42" s="497">
        <v>4000</v>
      </c>
      <c r="G42" s="497"/>
      <c r="H42" s="112"/>
      <c r="I42" s="113"/>
      <c r="L42" s="115"/>
    </row>
    <row r="43" spans="1:12" s="114" customFormat="1" ht="15" customHeight="1">
      <c r="A43" s="34" t="s">
        <v>20</v>
      </c>
      <c r="B43" s="595" t="s">
        <v>629</v>
      </c>
      <c r="C43" s="595"/>
      <c r="D43" s="403" t="s">
        <v>164</v>
      </c>
      <c r="E43" s="403">
        <v>2</v>
      </c>
      <c r="F43" s="515">
        <v>6560</v>
      </c>
      <c r="G43" s="515"/>
      <c r="H43" s="112"/>
      <c r="I43" s="113"/>
      <c r="L43" s="115"/>
    </row>
    <row r="44" spans="1:12" s="114" customFormat="1" ht="15" customHeight="1">
      <c r="A44" s="34" t="s">
        <v>22</v>
      </c>
      <c r="B44" s="595" t="s">
        <v>677</v>
      </c>
      <c r="C44" s="595"/>
      <c r="D44" s="403"/>
      <c r="E44" s="403"/>
      <c r="F44" s="515">
        <v>12000</v>
      </c>
      <c r="G44" s="515"/>
      <c r="H44" s="112"/>
      <c r="I44" s="113"/>
      <c r="L44" s="115"/>
    </row>
    <row r="45" spans="1:12" s="114" customFormat="1" ht="15" customHeight="1">
      <c r="A45" s="34" t="s">
        <v>24</v>
      </c>
      <c r="B45" s="595" t="s">
        <v>814</v>
      </c>
      <c r="C45" s="595"/>
      <c r="D45" s="403" t="s">
        <v>391</v>
      </c>
      <c r="E45" s="403">
        <v>4</v>
      </c>
      <c r="F45" s="497">
        <v>11200</v>
      </c>
      <c r="G45" s="497"/>
      <c r="H45" s="112"/>
      <c r="I45" s="113"/>
      <c r="L45" s="115"/>
    </row>
    <row r="46" spans="1:11" s="67" customFormat="1" ht="15">
      <c r="A46" s="34" t="s">
        <v>103</v>
      </c>
      <c r="B46" s="596" t="s">
        <v>188</v>
      </c>
      <c r="C46" s="596"/>
      <c r="D46" s="123"/>
      <c r="E46" s="123"/>
      <c r="F46" s="495">
        <f>E25*1%</f>
        <v>1366.1373999999998</v>
      </c>
      <c r="G46" s="495"/>
      <c r="H46" s="59"/>
      <c r="I46" s="59"/>
      <c r="J46" s="59"/>
      <c r="K46" s="59"/>
    </row>
    <row r="47" s="59" customFormat="1" ht="9" customHeight="1"/>
    <row r="48" spans="1:11" s="59" customFormat="1" ht="15">
      <c r="A48" s="67" t="s">
        <v>55</v>
      </c>
      <c r="B48" s="67"/>
      <c r="C48" s="125" t="s">
        <v>49</v>
      </c>
      <c r="D48" s="67"/>
      <c r="E48" s="67"/>
      <c r="F48" s="67" t="s">
        <v>90</v>
      </c>
      <c r="G48" s="67"/>
      <c r="H48" s="67"/>
      <c r="I48" s="67"/>
      <c r="J48" s="67"/>
      <c r="K48" s="67"/>
    </row>
    <row r="49" spans="1:7" s="59" customFormat="1" ht="15">
      <c r="A49" s="67"/>
      <c r="B49" s="67"/>
      <c r="C49" s="125"/>
      <c r="D49" s="67"/>
      <c r="E49" s="67"/>
      <c r="F49" s="126" t="s">
        <v>545</v>
      </c>
      <c r="G49" s="67"/>
    </row>
    <row r="50" spans="1:10" s="59" customFormat="1" ht="15">
      <c r="A50" s="67" t="s">
        <v>50</v>
      </c>
      <c r="B50" s="67"/>
      <c r="C50" s="125"/>
      <c r="D50" s="67"/>
      <c r="E50" s="67"/>
      <c r="F50" s="67"/>
      <c r="G50" s="67"/>
      <c r="H50" s="156"/>
      <c r="I50" s="156"/>
      <c r="J50" s="156"/>
    </row>
    <row r="51" spans="1:11" ht="15">
      <c r="A51" s="67"/>
      <c r="B51" s="67"/>
      <c r="C51" s="127" t="s">
        <v>51</v>
      </c>
      <c r="D51" s="67"/>
      <c r="E51" s="128"/>
      <c r="F51" s="128"/>
      <c r="G51" s="128"/>
      <c r="H51" s="59"/>
      <c r="I51" s="59"/>
      <c r="J51" s="59"/>
      <c r="K51" s="59"/>
    </row>
    <row r="52" spans="1:11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</row>
  </sheetData>
  <sheetProtection/>
  <mergeCells count="26">
    <mergeCell ref="B42:C42"/>
    <mergeCell ref="B43:C43"/>
    <mergeCell ref="B44:C44"/>
    <mergeCell ref="F42:G42"/>
    <mergeCell ref="F43:G43"/>
    <mergeCell ref="F44:G44"/>
    <mergeCell ref="A11:K11"/>
    <mergeCell ref="A33:C33"/>
    <mergeCell ref="F41:G41"/>
    <mergeCell ref="F45:G45"/>
    <mergeCell ref="B40:C40"/>
    <mergeCell ref="F40:G40"/>
    <mergeCell ref="A37:G37"/>
    <mergeCell ref="A32:F32"/>
    <mergeCell ref="B39:C39"/>
    <mergeCell ref="F39:G39"/>
    <mergeCell ref="B46:C46"/>
    <mergeCell ref="F46:G46"/>
    <mergeCell ref="B41:C41"/>
    <mergeCell ref="B45:C45"/>
    <mergeCell ref="A10:K10"/>
    <mergeCell ref="A1:K1"/>
    <mergeCell ref="A2:K2"/>
    <mergeCell ref="A3:K3"/>
    <mergeCell ref="A5:K5"/>
    <mergeCell ref="A9: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7030A0"/>
  </sheetPr>
  <dimension ref="A1:K51"/>
  <sheetViews>
    <sheetView zoomScalePageLayoutView="0" workbookViewId="0" topLeftCell="A34">
      <selection activeCell="F41" sqref="F41:G45"/>
    </sheetView>
  </sheetViews>
  <sheetFormatPr defaultColWidth="9.140625" defaultRowHeight="15" outlineLevelCol="1"/>
  <cols>
    <col min="1" max="1" width="5.421875" style="57" customWidth="1"/>
    <col min="2" max="2" width="48.8515625" style="57" customWidth="1"/>
    <col min="3" max="3" width="14.28125" style="57" customWidth="1"/>
    <col min="4" max="4" width="14.8515625" style="57" customWidth="1"/>
    <col min="5" max="5" width="13.140625" style="57" customWidth="1"/>
    <col min="6" max="6" width="15.7109375" style="57" customWidth="1"/>
    <col min="7" max="7" width="14.57421875" style="57" customWidth="1"/>
    <col min="8" max="9" width="11.57421875" style="57" hidden="1" customWidth="1" outlineLevel="1"/>
    <col min="10" max="10" width="9.140625" style="57" customWidth="1" collapsed="1"/>
    <col min="11" max="16384" width="9.140625" style="57" customWidth="1"/>
  </cols>
  <sheetData>
    <row r="1" spans="1:9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</row>
    <row r="2" spans="1:9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</row>
    <row r="3" spans="1:9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</row>
    <row r="4" spans="1:9" ht="9" customHeight="1">
      <c r="A4" s="56"/>
      <c r="B4" s="56"/>
      <c r="C4" s="56"/>
      <c r="D4" s="56"/>
      <c r="E4" s="56"/>
      <c r="F4" s="56"/>
      <c r="G4" s="56"/>
      <c r="H4" s="56"/>
      <c r="I4" s="56"/>
    </row>
    <row r="5" spans="1:9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</row>
    <row r="7" spans="1:8" s="59" customFormat="1" ht="16.5" customHeight="1">
      <c r="A7" s="59" t="s">
        <v>2</v>
      </c>
      <c r="F7" s="60" t="s">
        <v>158</v>
      </c>
      <c r="H7" s="60"/>
    </row>
    <row r="8" spans="1:8" s="59" customFormat="1" ht="12.75">
      <c r="A8" s="59" t="s">
        <v>3</v>
      </c>
      <c r="F8" s="301" t="s">
        <v>266</v>
      </c>
      <c r="H8" s="60"/>
    </row>
    <row r="9" spans="1:9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</row>
    <row r="10" spans="1:9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</row>
    <row r="11" spans="1:9" s="59" customFormat="1" ht="15.75" customHeight="1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336</v>
      </c>
      <c r="B13" s="64"/>
      <c r="C13" s="64"/>
      <c r="D13" s="69"/>
      <c r="E13" s="70"/>
      <c r="F13" s="70"/>
      <c r="G13" s="65">
        <f>'[2]Дорожная 11 корп1'!$G$35</f>
        <v>150756.27699999997</v>
      </c>
      <c r="H13" s="62"/>
      <c r="I13" s="62"/>
    </row>
    <row r="14" s="59" customFormat="1" ht="6.75" customHeight="1"/>
    <row r="15" spans="1:7" s="74" customFormat="1" ht="52.5" customHeight="1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1" s="59" customFormat="1" ht="14.25">
      <c r="A16" s="75" t="s">
        <v>14</v>
      </c>
      <c r="B16" s="41" t="s">
        <v>15</v>
      </c>
      <c r="C16" s="46">
        <f>C17+C18+C19+C20</f>
        <v>9.34</v>
      </c>
      <c r="D16" s="76">
        <v>286374</v>
      </c>
      <c r="E16" s="76">
        <v>300756.52</v>
      </c>
      <c r="F16" s="76">
        <f aca="true" t="shared" si="0" ref="F16:F23">D16</f>
        <v>286374</v>
      </c>
      <c r="G16" s="77">
        <f aca="true" t="shared" si="1" ref="G16:G21">D16-E16</f>
        <v>-14382.520000000019</v>
      </c>
      <c r="H16" s="78">
        <f aca="true" t="shared" si="2" ref="H16:H21">C16</f>
        <v>9.34</v>
      </c>
      <c r="I16" s="79"/>
      <c r="J16" s="79"/>
      <c r="K16" s="79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106087.15631691649</v>
      </c>
      <c r="E17" s="83">
        <f>E16*I17</f>
        <v>111415.15623126339</v>
      </c>
      <c r="F17" s="83">
        <f t="shared" si="0"/>
        <v>106087.15631691649</v>
      </c>
      <c r="G17" s="84">
        <f t="shared" si="1"/>
        <v>-5327.999914346903</v>
      </c>
      <c r="H17" s="78">
        <f t="shared" si="2"/>
        <v>3.46</v>
      </c>
      <c r="I17" s="59">
        <f>H17/H16</f>
        <v>0.37044967880085655</v>
      </c>
    </row>
    <row r="18" spans="1:9" s="59" customFormat="1" ht="15">
      <c r="A18" s="81" t="s">
        <v>18</v>
      </c>
      <c r="B18" s="34" t="s">
        <v>19</v>
      </c>
      <c r="C18" s="85">
        <v>1.69</v>
      </c>
      <c r="D18" s="83">
        <f>D16*I18</f>
        <v>51817.13704496788</v>
      </c>
      <c r="E18" s="83">
        <f>E16*I18</f>
        <v>54419.541627409</v>
      </c>
      <c r="F18" s="83">
        <f t="shared" si="0"/>
        <v>51817.13704496788</v>
      </c>
      <c r="G18" s="84">
        <f t="shared" si="1"/>
        <v>-2602.4045824411223</v>
      </c>
      <c r="H18" s="78">
        <f t="shared" si="2"/>
        <v>1.69</v>
      </c>
      <c r="I18" s="59">
        <f>H18/H16</f>
        <v>0.1809421841541756</v>
      </c>
    </row>
    <row r="19" spans="1:9" s="59" customFormat="1" ht="15">
      <c r="A19" s="81" t="s">
        <v>20</v>
      </c>
      <c r="B19" s="34" t="s">
        <v>21</v>
      </c>
      <c r="C19" s="85">
        <v>1.15</v>
      </c>
      <c r="D19" s="83">
        <f>D16*I19</f>
        <v>35260.18201284796</v>
      </c>
      <c r="E19" s="83">
        <f>E16*I19</f>
        <v>37031.04903640257</v>
      </c>
      <c r="F19" s="83">
        <f t="shared" si="0"/>
        <v>35260.18201284796</v>
      </c>
      <c r="G19" s="84">
        <f t="shared" si="1"/>
        <v>-1770.8670235546087</v>
      </c>
      <c r="H19" s="78">
        <f t="shared" si="2"/>
        <v>1.15</v>
      </c>
      <c r="I19" s="59">
        <f>H19/H16</f>
        <v>0.12312633832976444</v>
      </c>
    </row>
    <row r="20" spans="1:9" s="59" customFormat="1" ht="14.25" customHeight="1">
      <c r="A20" s="81" t="s">
        <v>22</v>
      </c>
      <c r="B20" s="34" t="s">
        <v>23</v>
      </c>
      <c r="C20" s="85">
        <v>3.04</v>
      </c>
      <c r="D20" s="83">
        <f>D16*I20</f>
        <v>93209.52462526767</v>
      </c>
      <c r="E20" s="83">
        <f>E16*I20</f>
        <v>97890.77310492506</v>
      </c>
      <c r="F20" s="83">
        <f t="shared" si="0"/>
        <v>93209.52462526767</v>
      </c>
      <c r="G20" s="84">
        <f t="shared" si="1"/>
        <v>-4681.248479657384</v>
      </c>
      <c r="H20" s="78">
        <f t="shared" si="2"/>
        <v>3.04</v>
      </c>
      <c r="I20" s="59">
        <f>H20/H16</f>
        <v>0.32548179871520344</v>
      </c>
    </row>
    <row r="21" spans="1:8" s="59" customFormat="1" ht="14.25" customHeight="1">
      <c r="A21" s="75" t="s">
        <v>25</v>
      </c>
      <c r="B21" s="41" t="s">
        <v>267</v>
      </c>
      <c r="C21" s="97">
        <v>2.51</v>
      </c>
      <c r="D21" s="76">
        <v>76878.48</v>
      </c>
      <c r="E21" s="76">
        <v>80739.6</v>
      </c>
      <c r="F21" s="76">
        <f>D21</f>
        <v>76878.48</v>
      </c>
      <c r="G21" s="77">
        <f t="shared" si="1"/>
        <v>-3861.12000000001</v>
      </c>
      <c r="H21" s="78">
        <f t="shared" si="2"/>
        <v>2.51</v>
      </c>
    </row>
    <row r="22" spans="1:11" s="89" customFormat="1" ht="14.25">
      <c r="A22" s="86" t="s">
        <v>27</v>
      </c>
      <c r="B22" s="86" t="s">
        <v>26</v>
      </c>
      <c r="C22" s="46">
        <v>3.86</v>
      </c>
      <c r="D22" s="87">
        <v>118227.12</v>
      </c>
      <c r="E22" s="87">
        <v>124164.78</v>
      </c>
      <c r="F22" s="87">
        <f t="shared" si="0"/>
        <v>118227.12</v>
      </c>
      <c r="G22" s="77">
        <f aca="true" t="shared" si="3" ref="G22:G31">D22-E22</f>
        <v>-5937.6600000000035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28</v>
      </c>
      <c r="C23" s="46"/>
      <c r="D23" s="87">
        <v>0</v>
      </c>
      <c r="E23" s="87">
        <v>0</v>
      </c>
      <c r="F23" s="87">
        <f t="shared" si="0"/>
        <v>0</v>
      </c>
      <c r="G23" s="77">
        <f t="shared" si="3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161</v>
      </c>
      <c r="C24" s="46">
        <v>12.54</v>
      </c>
      <c r="D24" s="87">
        <v>0</v>
      </c>
      <c r="E24" s="87">
        <v>0</v>
      </c>
      <c r="F24" s="87">
        <f>D24</f>
        <v>0</v>
      </c>
      <c r="G24" s="77">
        <f t="shared" si="3"/>
        <v>0</v>
      </c>
      <c r="H24" s="88"/>
      <c r="I24" s="88"/>
      <c r="J24" s="88"/>
      <c r="K24" s="88"/>
    </row>
    <row r="25" spans="1:11" s="89" customFormat="1" ht="14.25">
      <c r="A25" s="86" t="s">
        <v>191</v>
      </c>
      <c r="B25" s="86" t="s">
        <v>116</v>
      </c>
      <c r="C25" s="95">
        <v>1.66</v>
      </c>
      <c r="D25" s="87">
        <v>50843.76</v>
      </c>
      <c r="E25" s="87">
        <v>53397.27</v>
      </c>
      <c r="F25" s="87">
        <f>F40</f>
        <v>45769.8827</v>
      </c>
      <c r="G25" s="77">
        <f t="shared" si="3"/>
        <v>-2553.5099999999948</v>
      </c>
      <c r="H25" s="88"/>
      <c r="I25" s="88"/>
      <c r="J25" s="88"/>
      <c r="K25" s="88"/>
    </row>
    <row r="26" spans="1:11" ht="14.25">
      <c r="A26" s="41" t="s">
        <v>236</v>
      </c>
      <c r="B26" s="41" t="s">
        <v>34</v>
      </c>
      <c r="C26" s="97">
        <v>0</v>
      </c>
      <c r="D26" s="77">
        <v>0</v>
      </c>
      <c r="E26" s="77">
        <v>0</v>
      </c>
      <c r="F26" s="87">
        <v>0</v>
      </c>
      <c r="G26" s="77">
        <f t="shared" si="3"/>
        <v>0</v>
      </c>
      <c r="H26" s="98"/>
      <c r="I26" s="98"/>
      <c r="J26" s="98"/>
      <c r="K26" s="98"/>
    </row>
    <row r="27" spans="1:11" ht="14.25">
      <c r="A27" s="41" t="s">
        <v>192</v>
      </c>
      <c r="B27" s="41" t="s">
        <v>36</v>
      </c>
      <c r="C27" s="97">
        <v>0</v>
      </c>
      <c r="D27" s="77">
        <f>SUM(D28:D31)</f>
        <v>315875.58</v>
      </c>
      <c r="E27" s="77">
        <f>SUM(E28:E31)</f>
        <v>329050.17</v>
      </c>
      <c r="F27" s="77">
        <f>SUM(F28:F31)</f>
        <v>315875.58</v>
      </c>
      <c r="G27" s="77">
        <f t="shared" si="3"/>
        <v>-13174.589999999967</v>
      </c>
      <c r="H27" s="98"/>
      <c r="I27" s="98"/>
      <c r="J27" s="98"/>
      <c r="K27" s="98"/>
    </row>
    <row r="28" spans="1:7" ht="15">
      <c r="A28" s="34" t="s">
        <v>194</v>
      </c>
      <c r="B28" s="34" t="s">
        <v>165</v>
      </c>
      <c r="C28" s="285">
        <v>6</v>
      </c>
      <c r="D28" s="84">
        <v>72923.98</v>
      </c>
      <c r="E28" s="84">
        <v>75541.76</v>
      </c>
      <c r="F28" s="84">
        <f>D28</f>
        <v>72923.98</v>
      </c>
      <c r="G28" s="84">
        <f t="shared" si="3"/>
        <v>-2617.779999999999</v>
      </c>
    </row>
    <row r="29" spans="1:7" ht="15">
      <c r="A29" s="34" t="s">
        <v>195</v>
      </c>
      <c r="B29" s="34" t="s">
        <v>137</v>
      </c>
      <c r="C29" s="285">
        <v>57.08</v>
      </c>
      <c r="D29" s="84">
        <v>242951.6</v>
      </c>
      <c r="E29" s="84">
        <v>253508.41</v>
      </c>
      <c r="F29" s="84">
        <f>D29</f>
        <v>242951.6</v>
      </c>
      <c r="G29" s="84">
        <f t="shared" si="3"/>
        <v>-10556.809999999998</v>
      </c>
    </row>
    <row r="30" spans="1:7" ht="15">
      <c r="A30" s="34" t="s">
        <v>196</v>
      </c>
      <c r="B30" s="34" t="s">
        <v>340</v>
      </c>
      <c r="C30" s="143"/>
      <c r="D30" s="84">
        <v>0</v>
      </c>
      <c r="E30" s="84">
        <v>0</v>
      </c>
      <c r="F30" s="84">
        <f>D30</f>
        <v>0</v>
      </c>
      <c r="G30" s="84">
        <f t="shared" si="3"/>
        <v>0</v>
      </c>
    </row>
    <row r="31" spans="1:7" ht="15">
      <c r="A31" s="34" t="s">
        <v>197</v>
      </c>
      <c r="B31" s="34" t="s">
        <v>43</v>
      </c>
      <c r="C31" s="143"/>
      <c r="D31" s="84">
        <v>0</v>
      </c>
      <c r="E31" s="84">
        <v>0</v>
      </c>
      <c r="F31" s="84">
        <f>D31</f>
        <v>0</v>
      </c>
      <c r="G31" s="84">
        <f t="shared" si="3"/>
        <v>0</v>
      </c>
    </row>
    <row r="32" spans="1:9" s="102" customFormat="1" ht="16.5" customHeight="1" thickBot="1">
      <c r="A32" s="446" t="s">
        <v>294</v>
      </c>
      <c r="B32" s="447"/>
      <c r="C32" s="447"/>
      <c r="D32" s="448"/>
      <c r="E32" s="448"/>
      <c r="F32" s="448"/>
      <c r="G32" s="101"/>
      <c r="H32" s="101"/>
      <c r="I32" s="101"/>
    </row>
    <row r="33" spans="1:9" s="67" customFormat="1" ht="15.75" thickBot="1">
      <c r="A33" s="455" t="s">
        <v>413</v>
      </c>
      <c r="B33" s="456"/>
      <c r="C33" s="456"/>
      <c r="D33" s="65">
        <v>75663.43</v>
      </c>
      <c r="E33" s="66"/>
      <c r="F33" s="66"/>
      <c r="G33" s="66"/>
      <c r="H33" s="62"/>
      <c r="I33" s="62"/>
    </row>
    <row r="34" spans="1:9" s="67" customFormat="1" ht="9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415</v>
      </c>
      <c r="B35" s="64"/>
      <c r="C35" s="64"/>
      <c r="D35" s="69"/>
      <c r="E35" s="70"/>
      <c r="F35" s="70"/>
      <c r="G35" s="144">
        <f>G13+E25-F25</f>
        <v>158383.66429999995</v>
      </c>
      <c r="H35" s="62"/>
      <c r="I35" s="62"/>
    </row>
    <row r="36" spans="1:11" s="102" customFormat="1" ht="13.5">
      <c r="A36" s="104"/>
      <c r="B36" s="104"/>
      <c r="C36" s="104"/>
      <c r="D36" s="104"/>
      <c r="E36" s="101"/>
      <c r="F36" s="101"/>
      <c r="G36" s="101"/>
      <c r="H36" s="101"/>
      <c r="I36" s="101"/>
      <c r="J36" s="101"/>
      <c r="K36" s="101"/>
    </row>
    <row r="37" spans="1:11" ht="28.5" customHeight="1">
      <c r="A37" s="444" t="s">
        <v>179</v>
      </c>
      <c r="B37" s="444"/>
      <c r="C37" s="444"/>
      <c r="D37" s="444"/>
      <c r="E37" s="444"/>
      <c r="F37" s="444"/>
      <c r="G37" s="444"/>
      <c r="H37" s="147"/>
      <c r="I37" s="147"/>
      <c r="J37" s="147"/>
      <c r="K37" s="147"/>
    </row>
    <row r="39" spans="1:7" s="74" customFormat="1" ht="28.5">
      <c r="A39" s="105" t="s">
        <v>11</v>
      </c>
      <c r="B39" s="471" t="s">
        <v>45</v>
      </c>
      <c r="C39" s="484"/>
      <c r="D39" s="105" t="s">
        <v>163</v>
      </c>
      <c r="E39" s="105" t="s">
        <v>162</v>
      </c>
      <c r="F39" s="471" t="s">
        <v>46</v>
      </c>
      <c r="G39" s="484"/>
    </row>
    <row r="40" spans="1:7" s="114" customFormat="1" ht="15">
      <c r="A40" s="109" t="s">
        <v>47</v>
      </c>
      <c r="B40" s="473" t="s">
        <v>111</v>
      </c>
      <c r="C40" s="491"/>
      <c r="D40" s="110"/>
      <c r="E40" s="110"/>
      <c r="F40" s="496">
        <f>SUM(F41:G45)</f>
        <v>45769.8827</v>
      </c>
      <c r="G40" s="483"/>
    </row>
    <row r="41" spans="1:7" s="114" customFormat="1" ht="15">
      <c r="A41" s="34" t="s">
        <v>16</v>
      </c>
      <c r="B41" s="493" t="s">
        <v>678</v>
      </c>
      <c r="C41" s="494"/>
      <c r="D41" s="339" t="s">
        <v>164</v>
      </c>
      <c r="E41" s="339">
        <v>4</v>
      </c>
      <c r="F41" s="497">
        <v>9439.91</v>
      </c>
      <c r="G41" s="497"/>
    </row>
    <row r="42" spans="1:7" s="114" customFormat="1" ht="15">
      <c r="A42" s="34" t="s">
        <v>18</v>
      </c>
      <c r="B42" s="391" t="s">
        <v>679</v>
      </c>
      <c r="C42" s="392"/>
      <c r="D42" s="404"/>
      <c r="E42" s="404"/>
      <c r="F42" s="497">
        <v>16000</v>
      </c>
      <c r="G42" s="497"/>
    </row>
    <row r="43" spans="1:7" s="114" customFormat="1" ht="15">
      <c r="A43" s="34" t="s">
        <v>20</v>
      </c>
      <c r="B43" s="493" t="s">
        <v>544</v>
      </c>
      <c r="C43" s="494"/>
      <c r="D43" s="339"/>
      <c r="E43" s="339"/>
      <c r="F43" s="497">
        <v>2996</v>
      </c>
      <c r="G43" s="497"/>
    </row>
    <row r="44" spans="1:7" s="114" customFormat="1" ht="15">
      <c r="A44" s="34" t="s">
        <v>22</v>
      </c>
      <c r="B44" s="511" t="s">
        <v>814</v>
      </c>
      <c r="C44" s="641"/>
      <c r="D44" s="194" t="s">
        <v>391</v>
      </c>
      <c r="E44" s="194">
        <v>6</v>
      </c>
      <c r="F44" s="495">
        <v>16800</v>
      </c>
      <c r="G44" s="495"/>
    </row>
    <row r="45" spans="1:9" s="59" customFormat="1" ht="15">
      <c r="A45" s="34" t="s">
        <v>24</v>
      </c>
      <c r="B45" s="511" t="s">
        <v>188</v>
      </c>
      <c r="C45" s="512"/>
      <c r="D45" s="123"/>
      <c r="E45" s="123"/>
      <c r="F45" s="495">
        <f>E25*1%</f>
        <v>533.9727</v>
      </c>
      <c r="G45" s="495"/>
      <c r="H45" s="57"/>
      <c r="I45" s="57"/>
    </row>
    <row r="46" s="59" customFormat="1" ht="12.75"/>
    <row r="47" spans="1:11" s="59" customFormat="1" ht="15">
      <c r="A47" s="67" t="s">
        <v>55</v>
      </c>
      <c r="B47" s="67"/>
      <c r="C47" s="125" t="s">
        <v>49</v>
      </c>
      <c r="D47" s="67"/>
      <c r="E47" s="67"/>
      <c r="F47" s="67" t="s">
        <v>90</v>
      </c>
      <c r="G47" s="67"/>
      <c r="H47" s="67"/>
      <c r="I47" s="67"/>
      <c r="J47" s="67"/>
      <c r="K47" s="67"/>
    </row>
    <row r="48" spans="1:11" ht="15">
      <c r="A48" s="67"/>
      <c r="B48" s="67"/>
      <c r="C48" s="125"/>
      <c r="D48" s="67"/>
      <c r="E48" s="67"/>
      <c r="F48" s="126" t="s">
        <v>545</v>
      </c>
      <c r="G48" s="67"/>
      <c r="H48" s="59"/>
      <c r="I48" s="59"/>
      <c r="J48" s="59"/>
      <c r="K48" s="59"/>
    </row>
    <row r="49" spans="1:11" ht="15">
      <c r="A49" s="67" t="s">
        <v>50</v>
      </c>
      <c r="B49" s="67"/>
      <c r="C49" s="125"/>
      <c r="D49" s="67"/>
      <c r="E49" s="67"/>
      <c r="F49" s="67"/>
      <c r="G49" s="67"/>
      <c r="H49" s="156"/>
      <c r="I49" s="156"/>
      <c r="J49" s="156"/>
      <c r="K49" s="59"/>
    </row>
    <row r="50" spans="1:11" ht="15">
      <c r="A50" s="67"/>
      <c r="B50" s="127"/>
      <c r="C50" s="127" t="s">
        <v>51</v>
      </c>
      <c r="D50" s="128"/>
      <c r="E50" s="128"/>
      <c r="F50" s="67"/>
      <c r="G50" s="67"/>
      <c r="H50" s="156"/>
      <c r="I50" s="156"/>
      <c r="J50" s="156"/>
      <c r="K50" s="59"/>
    </row>
    <row r="51" spans="1:11" ht="15">
      <c r="A51" s="67"/>
      <c r="B51" s="127"/>
      <c r="C51" s="127"/>
      <c r="D51" s="128"/>
      <c r="E51" s="128"/>
      <c r="F51" s="67"/>
      <c r="G51" s="67"/>
      <c r="H51" s="156"/>
      <c r="I51" s="156"/>
      <c r="J51" s="156"/>
      <c r="K51" s="59"/>
    </row>
  </sheetData>
  <sheetProtection/>
  <mergeCells count="23">
    <mergeCell ref="A11:I11"/>
    <mergeCell ref="F44:G44"/>
    <mergeCell ref="B44:C44"/>
    <mergeCell ref="F41:G41"/>
    <mergeCell ref="A33:C33"/>
    <mergeCell ref="B39:C39"/>
    <mergeCell ref="F39:G39"/>
    <mergeCell ref="A1:I1"/>
    <mergeCell ref="A2:I2"/>
    <mergeCell ref="A3:I3"/>
    <mergeCell ref="A5:I5"/>
    <mergeCell ref="A9:I9"/>
    <mergeCell ref="A32:F32"/>
    <mergeCell ref="F43:G43"/>
    <mergeCell ref="A10:I10"/>
    <mergeCell ref="B45:C45"/>
    <mergeCell ref="F45:G45"/>
    <mergeCell ref="B40:C40"/>
    <mergeCell ref="F40:G40"/>
    <mergeCell ref="A37:G37"/>
    <mergeCell ref="B41:C41"/>
    <mergeCell ref="F42:G42"/>
    <mergeCell ref="B43:C4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7030A0"/>
  </sheetPr>
  <dimension ref="A1:K50"/>
  <sheetViews>
    <sheetView zoomScalePageLayoutView="0" workbookViewId="0" topLeftCell="A37">
      <selection activeCell="F41" sqref="F41:G45"/>
    </sheetView>
  </sheetViews>
  <sheetFormatPr defaultColWidth="9.140625" defaultRowHeight="15" outlineLevelCol="1"/>
  <cols>
    <col min="1" max="1" width="6.00390625" style="57" customWidth="1"/>
    <col min="2" max="2" width="52.140625" style="57" customWidth="1"/>
    <col min="3" max="3" width="12.28125" style="57" customWidth="1"/>
    <col min="4" max="4" width="14.8515625" style="57" customWidth="1"/>
    <col min="5" max="5" width="12.57421875" style="57" customWidth="1"/>
    <col min="6" max="6" width="15.00390625" style="57" customWidth="1"/>
    <col min="7" max="7" width="14.57421875" style="57" customWidth="1"/>
    <col min="8" max="9" width="11.57421875" style="57" hidden="1" customWidth="1" outlineLevel="1"/>
    <col min="10" max="10" width="10.00390625" style="57" bestFit="1" customWidth="1" collapsed="1"/>
    <col min="11" max="11" width="15.8515625" style="57" customWidth="1"/>
    <col min="12" max="16384" width="9.140625" style="57" customWidth="1"/>
  </cols>
  <sheetData>
    <row r="1" spans="1:9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</row>
    <row r="2" spans="1:9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</row>
    <row r="3" spans="1:9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</row>
    <row r="4" spans="1:9" ht="9" customHeight="1">
      <c r="A4" s="56"/>
      <c r="B4" s="56"/>
      <c r="C4" s="56"/>
      <c r="D4" s="56"/>
      <c r="E4" s="56"/>
      <c r="F4" s="56"/>
      <c r="G4" s="56"/>
      <c r="H4" s="56"/>
      <c r="I4" s="56"/>
    </row>
    <row r="5" spans="1:9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</row>
    <row r="7" spans="1:8" s="59" customFormat="1" ht="16.5" customHeight="1">
      <c r="A7" s="59" t="s">
        <v>2</v>
      </c>
      <c r="F7" s="60" t="s">
        <v>159</v>
      </c>
      <c r="H7" s="60"/>
    </row>
    <row r="8" spans="1:8" s="59" customFormat="1" ht="12.75">
      <c r="A8" s="59" t="s">
        <v>3</v>
      </c>
      <c r="F8" s="301" t="s">
        <v>160</v>
      </c>
      <c r="H8" s="60"/>
    </row>
    <row r="9" spans="1:9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</row>
    <row r="10" spans="1:9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</row>
    <row r="11" spans="1:9" s="59" customFormat="1" ht="15.75" customHeight="1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336</v>
      </c>
      <c r="B13" s="64"/>
      <c r="C13" s="64"/>
      <c r="D13" s="69"/>
      <c r="E13" s="70"/>
      <c r="F13" s="70"/>
      <c r="G13" s="65">
        <f>'[2]Дорожная 11 корп2'!$G$35</f>
        <v>219273.05800000002</v>
      </c>
      <c r="H13" s="62"/>
      <c r="I13" s="62"/>
    </row>
    <row r="14" s="59" customFormat="1" ht="6.75" customHeight="1"/>
    <row r="15" spans="1:7" s="74" customFormat="1" ht="52.5" customHeight="1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1" s="59" customFormat="1" ht="14.25">
      <c r="A16" s="75" t="s">
        <v>14</v>
      </c>
      <c r="B16" s="41" t="s">
        <v>15</v>
      </c>
      <c r="C16" s="46">
        <f>C17+C18+C19+C20</f>
        <v>9.34</v>
      </c>
      <c r="D16" s="76">
        <v>323113.68</v>
      </c>
      <c r="E16" s="76">
        <v>325355.47</v>
      </c>
      <c r="F16" s="76">
        <f aca="true" t="shared" si="0" ref="F16:F22">D16</f>
        <v>323113.68</v>
      </c>
      <c r="G16" s="77">
        <f>D16-E16</f>
        <v>-2241.789999999979</v>
      </c>
      <c r="H16" s="78">
        <f aca="true" t="shared" si="1" ref="H16:H21">C16</f>
        <v>9.34</v>
      </c>
      <c r="J16" s="78"/>
      <c r="K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119697.35897216275</v>
      </c>
      <c r="E17" s="83">
        <f>E16*I17</f>
        <v>120527.82935760172</v>
      </c>
      <c r="F17" s="83">
        <f t="shared" si="0"/>
        <v>119697.35897216275</v>
      </c>
      <c r="G17" s="84">
        <f>D17-E17</f>
        <v>-830.4703854389663</v>
      </c>
      <c r="H17" s="78">
        <f t="shared" si="1"/>
        <v>3.46</v>
      </c>
      <c r="I17" s="59">
        <f>H17/H16</f>
        <v>0.37044967880085655</v>
      </c>
    </row>
    <row r="18" spans="1:9" s="59" customFormat="1" ht="15">
      <c r="A18" s="81" t="s">
        <v>18</v>
      </c>
      <c r="B18" s="34" t="s">
        <v>19</v>
      </c>
      <c r="C18" s="85">
        <v>1.69</v>
      </c>
      <c r="D18" s="83">
        <f>D16*I18</f>
        <v>58464.89498929336</v>
      </c>
      <c r="E18" s="83">
        <f>E16*I18</f>
        <v>58870.52936830835</v>
      </c>
      <c r="F18" s="83">
        <f t="shared" si="0"/>
        <v>58464.89498929336</v>
      </c>
      <c r="G18" s="84">
        <f>D18-E18</f>
        <v>-405.6343790149913</v>
      </c>
      <c r="H18" s="78">
        <f t="shared" si="1"/>
        <v>1.69</v>
      </c>
      <c r="I18" s="59">
        <f>H18/H16</f>
        <v>0.1809421841541756</v>
      </c>
    </row>
    <row r="19" spans="1:9" s="59" customFormat="1" ht="15">
      <c r="A19" s="81" t="s">
        <v>20</v>
      </c>
      <c r="B19" s="34" t="s">
        <v>21</v>
      </c>
      <c r="C19" s="85">
        <v>1.15</v>
      </c>
      <c r="D19" s="83">
        <f>D16*I19</f>
        <v>39783.80428265524</v>
      </c>
      <c r="E19" s="83">
        <f>E16*I19</f>
        <v>40059.82767665952</v>
      </c>
      <c r="F19" s="83">
        <f t="shared" si="0"/>
        <v>39783.80428265524</v>
      </c>
      <c r="G19" s="84">
        <f>D19-E19</f>
        <v>-276.0233940042817</v>
      </c>
      <c r="H19" s="78">
        <f t="shared" si="1"/>
        <v>1.15</v>
      </c>
      <c r="I19" s="59">
        <f>H19/H16</f>
        <v>0.12312633832976444</v>
      </c>
    </row>
    <row r="20" spans="1:9" s="59" customFormat="1" ht="15">
      <c r="A20" s="81" t="s">
        <v>22</v>
      </c>
      <c r="B20" s="34" t="s">
        <v>23</v>
      </c>
      <c r="C20" s="85">
        <v>3.04</v>
      </c>
      <c r="D20" s="83">
        <f>D16*I20</f>
        <v>105167.62175588866</v>
      </c>
      <c r="E20" s="83">
        <f>E16*I20</f>
        <v>105897.2835974304</v>
      </c>
      <c r="F20" s="83">
        <f t="shared" si="0"/>
        <v>105167.62175588866</v>
      </c>
      <c r="G20" s="84">
        <f>D20-E20</f>
        <v>-729.661841541747</v>
      </c>
      <c r="H20" s="78">
        <f t="shared" si="1"/>
        <v>3.04</v>
      </c>
      <c r="I20" s="59">
        <f>H20/H16</f>
        <v>0.32548179871520344</v>
      </c>
    </row>
    <row r="21" spans="1:8" s="59" customFormat="1" ht="15">
      <c r="A21" s="81" t="s">
        <v>24</v>
      </c>
      <c r="B21" s="34" t="s">
        <v>180</v>
      </c>
      <c r="C21" s="97">
        <v>2.51</v>
      </c>
      <c r="D21" s="76">
        <v>86752.08</v>
      </c>
      <c r="E21" s="76">
        <v>87354.02</v>
      </c>
      <c r="F21" s="76">
        <f t="shared" si="0"/>
        <v>86752.08</v>
      </c>
      <c r="G21" s="77">
        <f aca="true" t="shared" si="2" ref="G21:G31">D21-E21</f>
        <v>-601.9400000000023</v>
      </c>
      <c r="H21" s="78">
        <f t="shared" si="1"/>
        <v>2.51</v>
      </c>
    </row>
    <row r="22" spans="1:7" s="89" customFormat="1" ht="14.25">
      <c r="A22" s="86" t="s">
        <v>25</v>
      </c>
      <c r="B22" s="86" t="s">
        <v>26</v>
      </c>
      <c r="C22" s="46">
        <v>3.86</v>
      </c>
      <c r="D22" s="87">
        <v>133410.72</v>
      </c>
      <c r="E22" s="87">
        <v>134336.3</v>
      </c>
      <c r="F22" s="87">
        <f t="shared" si="0"/>
        <v>133410.72</v>
      </c>
      <c r="G22" s="77">
        <f t="shared" si="2"/>
        <v>-925.5799999999872</v>
      </c>
    </row>
    <row r="23" spans="1:7" s="89" customFormat="1" ht="14.25">
      <c r="A23" s="86" t="s">
        <v>27</v>
      </c>
      <c r="B23" s="86" t="s">
        <v>28</v>
      </c>
      <c r="C23" s="46"/>
      <c r="D23" s="87">
        <v>0</v>
      </c>
      <c r="E23" s="87">
        <v>0</v>
      </c>
      <c r="F23" s="87">
        <f>D23</f>
        <v>0</v>
      </c>
      <c r="G23" s="77">
        <f t="shared" si="2"/>
        <v>0</v>
      </c>
    </row>
    <row r="24" spans="1:7" s="89" customFormat="1" ht="14.25">
      <c r="A24" s="86" t="s">
        <v>29</v>
      </c>
      <c r="B24" s="86" t="s">
        <v>161</v>
      </c>
      <c r="C24" s="46">
        <v>12.54</v>
      </c>
      <c r="D24" s="90">
        <v>0</v>
      </c>
      <c r="E24" s="90">
        <v>0</v>
      </c>
      <c r="F24" s="90">
        <f>D24</f>
        <v>0</v>
      </c>
      <c r="G24" s="77">
        <f t="shared" si="2"/>
        <v>0</v>
      </c>
    </row>
    <row r="25" spans="1:7" s="89" customFormat="1" ht="14.25">
      <c r="A25" s="86" t="s">
        <v>31</v>
      </c>
      <c r="B25" s="86" t="s">
        <v>116</v>
      </c>
      <c r="C25" s="95">
        <v>1.66</v>
      </c>
      <c r="D25" s="87">
        <v>57373.44</v>
      </c>
      <c r="E25" s="87">
        <v>57771.53</v>
      </c>
      <c r="F25" s="87">
        <f>F40</f>
        <v>41568.655300000006</v>
      </c>
      <c r="G25" s="77">
        <f t="shared" si="2"/>
        <v>-398.0899999999965</v>
      </c>
    </row>
    <row r="26" spans="1:7" ht="14.25">
      <c r="A26" s="41" t="s">
        <v>33</v>
      </c>
      <c r="B26" s="41" t="s">
        <v>34</v>
      </c>
      <c r="C26" s="97">
        <v>0</v>
      </c>
      <c r="D26" s="77">
        <v>0</v>
      </c>
      <c r="E26" s="77">
        <v>0</v>
      </c>
      <c r="F26" s="87">
        <v>0</v>
      </c>
      <c r="G26" s="77">
        <f t="shared" si="2"/>
        <v>0</v>
      </c>
    </row>
    <row r="27" spans="1:7" ht="14.25">
      <c r="A27" s="41" t="s">
        <v>35</v>
      </c>
      <c r="B27" s="41" t="s">
        <v>36</v>
      </c>
      <c r="C27" s="97">
        <v>0</v>
      </c>
      <c r="D27" s="77">
        <f>SUM(D28:D31)</f>
        <v>463001.27</v>
      </c>
      <c r="E27" s="77">
        <f>SUM(E28:E31)</f>
        <v>465034.78</v>
      </c>
      <c r="F27" s="77">
        <f>SUM(F28:F31)</f>
        <v>463001.27</v>
      </c>
      <c r="G27" s="77">
        <f t="shared" si="2"/>
        <v>-2033.5100000000093</v>
      </c>
    </row>
    <row r="28" spans="1:7" ht="15">
      <c r="A28" s="34" t="s">
        <v>37</v>
      </c>
      <c r="B28" s="34" t="s">
        <v>165</v>
      </c>
      <c r="C28" s="285">
        <v>6</v>
      </c>
      <c r="D28" s="84">
        <v>89766.07</v>
      </c>
      <c r="E28" s="84">
        <v>90116.21</v>
      </c>
      <c r="F28" s="84">
        <f>D28</f>
        <v>89766.07</v>
      </c>
      <c r="G28" s="84">
        <f t="shared" si="2"/>
        <v>-350.1399999999994</v>
      </c>
    </row>
    <row r="29" spans="1:7" ht="15">
      <c r="A29" s="34" t="s">
        <v>39</v>
      </c>
      <c r="B29" s="34" t="s">
        <v>137</v>
      </c>
      <c r="C29" s="285">
        <v>57.08</v>
      </c>
      <c r="D29" s="84">
        <v>373235.2</v>
      </c>
      <c r="E29" s="84">
        <v>374918.57</v>
      </c>
      <c r="F29" s="84">
        <f>D29</f>
        <v>373235.2</v>
      </c>
      <c r="G29" s="84">
        <f t="shared" si="2"/>
        <v>-1683.3699999999953</v>
      </c>
    </row>
    <row r="30" spans="1:7" ht="15">
      <c r="A30" s="34" t="s">
        <v>42</v>
      </c>
      <c r="B30" s="34" t="s">
        <v>340</v>
      </c>
      <c r="C30" s="143">
        <v>0</v>
      </c>
      <c r="D30" s="84">
        <v>0</v>
      </c>
      <c r="E30" s="84">
        <v>0</v>
      </c>
      <c r="F30" s="84">
        <f>D30</f>
        <v>0</v>
      </c>
      <c r="G30" s="84">
        <f t="shared" si="2"/>
        <v>0</v>
      </c>
    </row>
    <row r="31" spans="1:7" ht="15">
      <c r="A31" s="34" t="s">
        <v>41</v>
      </c>
      <c r="B31" s="34" t="s">
        <v>43</v>
      </c>
      <c r="C31" s="99">
        <v>0</v>
      </c>
      <c r="D31" s="84">
        <v>0</v>
      </c>
      <c r="E31" s="84">
        <v>0</v>
      </c>
      <c r="F31" s="84">
        <f>D31</f>
        <v>0</v>
      </c>
      <c r="G31" s="84">
        <f t="shared" si="2"/>
        <v>0</v>
      </c>
    </row>
    <row r="32" spans="1:9" s="102" customFormat="1" ht="15.75" thickBot="1">
      <c r="A32" s="446" t="s">
        <v>294</v>
      </c>
      <c r="B32" s="447"/>
      <c r="C32" s="447"/>
      <c r="D32" s="448"/>
      <c r="E32" s="448"/>
      <c r="F32" s="448"/>
      <c r="G32" s="101"/>
      <c r="H32" s="101"/>
      <c r="I32" s="101"/>
    </row>
    <row r="33" spans="1:9" s="67" customFormat="1" ht="15.75" thickBot="1">
      <c r="A33" s="455" t="s">
        <v>413</v>
      </c>
      <c r="B33" s="456"/>
      <c r="C33" s="456"/>
      <c r="D33" s="65">
        <v>104784.37</v>
      </c>
      <c r="E33" s="66"/>
      <c r="F33" s="66"/>
      <c r="G33" s="66"/>
      <c r="H33" s="62"/>
      <c r="I33" s="62"/>
    </row>
    <row r="34" spans="1:9" s="67" customFormat="1" ht="15.75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336</v>
      </c>
      <c r="B35" s="64"/>
      <c r="C35" s="64"/>
      <c r="D35" s="69"/>
      <c r="E35" s="70"/>
      <c r="F35" s="70"/>
      <c r="G35" s="144">
        <f>G13+E25-F25</f>
        <v>235475.93269999998</v>
      </c>
      <c r="H35" s="62"/>
      <c r="I35" s="62"/>
    </row>
    <row r="36" spans="1:9" s="102" customFormat="1" ht="13.5">
      <c r="A36" s="104"/>
      <c r="B36" s="104"/>
      <c r="C36" s="104"/>
      <c r="D36" s="104"/>
      <c r="E36" s="101"/>
      <c r="F36" s="101"/>
      <c r="G36" s="101"/>
      <c r="H36" s="101"/>
      <c r="I36" s="101"/>
    </row>
    <row r="37" spans="1:9" ht="26.25" customHeight="1">
      <c r="A37" s="444" t="s">
        <v>179</v>
      </c>
      <c r="B37" s="444"/>
      <c r="C37" s="444"/>
      <c r="D37" s="444"/>
      <c r="E37" s="444"/>
      <c r="F37" s="444"/>
      <c r="G37" s="444"/>
      <c r="H37" s="147"/>
      <c r="I37" s="147"/>
    </row>
    <row r="39" spans="1:7" s="74" customFormat="1" ht="28.5">
      <c r="A39" s="105" t="s">
        <v>11</v>
      </c>
      <c r="B39" s="471" t="s">
        <v>45</v>
      </c>
      <c r="C39" s="484"/>
      <c r="D39" s="105" t="s">
        <v>163</v>
      </c>
      <c r="E39" s="105" t="s">
        <v>162</v>
      </c>
      <c r="F39" s="471" t="s">
        <v>46</v>
      </c>
      <c r="G39" s="484"/>
    </row>
    <row r="40" spans="1:7" s="114" customFormat="1" ht="15">
      <c r="A40" s="109" t="s">
        <v>47</v>
      </c>
      <c r="B40" s="473" t="s">
        <v>111</v>
      </c>
      <c r="C40" s="491"/>
      <c r="D40" s="110"/>
      <c r="E40" s="110"/>
      <c r="F40" s="496">
        <f>SUM(F41:G45)</f>
        <v>41568.655300000006</v>
      </c>
      <c r="G40" s="483"/>
    </row>
    <row r="41" spans="1:7" ht="15">
      <c r="A41" s="34" t="s">
        <v>16</v>
      </c>
      <c r="B41" s="462" t="s">
        <v>680</v>
      </c>
      <c r="C41" s="489"/>
      <c r="D41" s="403" t="s">
        <v>216</v>
      </c>
      <c r="E41" s="403">
        <v>0.03</v>
      </c>
      <c r="F41" s="525">
        <v>6198.94</v>
      </c>
      <c r="G41" s="526"/>
    </row>
    <row r="42" spans="1:7" ht="15">
      <c r="A42" s="34" t="s">
        <v>18</v>
      </c>
      <c r="B42" s="462" t="s">
        <v>406</v>
      </c>
      <c r="C42" s="489"/>
      <c r="D42" s="403"/>
      <c r="E42" s="403"/>
      <c r="F42" s="525">
        <v>12000</v>
      </c>
      <c r="G42" s="526"/>
    </row>
    <row r="43" spans="1:7" ht="15">
      <c r="A43" s="34" t="s">
        <v>20</v>
      </c>
      <c r="B43" s="462" t="s">
        <v>241</v>
      </c>
      <c r="C43" s="489"/>
      <c r="D43" s="403" t="s">
        <v>164</v>
      </c>
      <c r="E43" s="403">
        <v>2</v>
      </c>
      <c r="F43" s="525">
        <v>5992</v>
      </c>
      <c r="G43" s="526"/>
    </row>
    <row r="44" spans="1:7" ht="15">
      <c r="A44" s="34" t="s">
        <v>22</v>
      </c>
      <c r="B44" s="449" t="s">
        <v>814</v>
      </c>
      <c r="C44" s="451"/>
      <c r="D44" s="118" t="s">
        <v>391</v>
      </c>
      <c r="E44" s="118">
        <v>6</v>
      </c>
      <c r="F44" s="521">
        <v>16800</v>
      </c>
      <c r="G44" s="522"/>
    </row>
    <row r="45" spans="1:7" ht="15">
      <c r="A45" s="34" t="s">
        <v>24</v>
      </c>
      <c r="B45" s="511" t="s">
        <v>188</v>
      </c>
      <c r="C45" s="512"/>
      <c r="D45" s="123"/>
      <c r="E45" s="123"/>
      <c r="F45" s="495">
        <f>E25*1%</f>
        <v>577.7153</v>
      </c>
      <c r="G45" s="495"/>
    </row>
    <row r="46" spans="1:7" ht="15">
      <c r="A46" s="168"/>
      <c r="B46" s="93"/>
      <c r="C46" s="93"/>
      <c r="D46" s="259"/>
      <c r="E46" s="259"/>
      <c r="F46" s="180"/>
      <c r="G46" s="180"/>
    </row>
    <row r="47" spans="1:7" ht="15">
      <c r="A47" s="67" t="s">
        <v>55</v>
      </c>
      <c r="B47" s="67"/>
      <c r="C47" s="125" t="s">
        <v>49</v>
      </c>
      <c r="D47" s="67"/>
      <c r="E47" s="67"/>
      <c r="F47" s="67" t="s">
        <v>90</v>
      </c>
      <c r="G47" s="67"/>
    </row>
    <row r="48" spans="1:7" ht="15">
      <c r="A48" s="67"/>
      <c r="B48" s="67"/>
      <c r="C48" s="125"/>
      <c r="D48" s="67"/>
      <c r="E48" s="67"/>
      <c r="F48" s="126" t="s">
        <v>545</v>
      </c>
      <c r="G48" s="67"/>
    </row>
    <row r="49" spans="1:7" ht="15">
      <c r="A49" s="67" t="s">
        <v>50</v>
      </c>
      <c r="B49" s="67"/>
      <c r="C49" s="125"/>
      <c r="D49" s="67"/>
      <c r="E49" s="67"/>
      <c r="F49" s="67"/>
      <c r="G49" s="67"/>
    </row>
    <row r="50" spans="1:7" ht="15">
      <c r="A50" s="67"/>
      <c r="B50" s="67"/>
      <c r="C50" s="127" t="s">
        <v>51</v>
      </c>
      <c r="D50" s="67"/>
      <c r="E50" s="128"/>
      <c r="F50" s="128"/>
      <c r="G50" s="128"/>
    </row>
  </sheetData>
  <sheetProtection/>
  <mergeCells count="24">
    <mergeCell ref="B44:C44"/>
    <mergeCell ref="F44:G44"/>
    <mergeCell ref="F42:G42"/>
    <mergeCell ref="F43:G43"/>
    <mergeCell ref="B42:C42"/>
    <mergeCell ref="B43:C43"/>
    <mergeCell ref="B40:C40"/>
    <mergeCell ref="F40:G40"/>
    <mergeCell ref="F39:G39"/>
    <mergeCell ref="A1:I1"/>
    <mergeCell ref="A2:I2"/>
    <mergeCell ref="A3:I3"/>
    <mergeCell ref="A5:I5"/>
    <mergeCell ref="A9:I9"/>
    <mergeCell ref="B45:C45"/>
    <mergeCell ref="F45:G45"/>
    <mergeCell ref="B41:C41"/>
    <mergeCell ref="F41:G41"/>
    <mergeCell ref="A10:I10"/>
    <mergeCell ref="A11:I11"/>
    <mergeCell ref="A33:C33"/>
    <mergeCell ref="A37:G37"/>
    <mergeCell ref="B39:C39"/>
    <mergeCell ref="A32:F3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7030A0"/>
  </sheetPr>
  <dimension ref="A1:J51"/>
  <sheetViews>
    <sheetView zoomScalePageLayoutView="0" workbookViewId="0" topLeftCell="A37">
      <selection activeCell="F43" sqref="F43:G43"/>
    </sheetView>
  </sheetViews>
  <sheetFormatPr defaultColWidth="9.140625" defaultRowHeight="15" outlineLevelCol="1"/>
  <cols>
    <col min="1" max="1" width="5.57421875" style="57" customWidth="1"/>
    <col min="2" max="2" width="51.8515625" style="57" customWidth="1"/>
    <col min="3" max="3" width="15.7109375" style="57" customWidth="1"/>
    <col min="4" max="4" width="14.8515625" style="57" customWidth="1"/>
    <col min="5" max="5" width="13.28125" style="57" customWidth="1"/>
    <col min="6" max="6" width="12.8515625" style="57" customWidth="1"/>
    <col min="7" max="7" width="14.57421875" style="57" customWidth="1"/>
    <col min="8" max="9" width="11.57421875" style="57" hidden="1" customWidth="1" outlineLevel="1"/>
    <col min="10" max="10" width="15.8515625" style="57" customWidth="1" collapsed="1"/>
    <col min="11" max="16384" width="9.140625" style="57" customWidth="1"/>
  </cols>
  <sheetData>
    <row r="1" spans="1:9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</row>
    <row r="2" spans="1:9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</row>
    <row r="3" spans="1:9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</row>
    <row r="4" spans="1:9" ht="9" customHeight="1">
      <c r="A4" s="56"/>
      <c r="B4" s="56"/>
      <c r="C4" s="56"/>
      <c r="D4" s="56"/>
      <c r="E4" s="56"/>
      <c r="F4" s="56"/>
      <c r="G4" s="56"/>
      <c r="H4" s="56"/>
      <c r="I4" s="56"/>
    </row>
    <row r="5" spans="1:9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</row>
    <row r="7" spans="1:8" s="59" customFormat="1" ht="16.5" customHeight="1">
      <c r="A7" s="59" t="s">
        <v>2</v>
      </c>
      <c r="F7" s="60" t="s">
        <v>218</v>
      </c>
      <c r="H7" s="60"/>
    </row>
    <row r="8" spans="1:8" s="59" customFormat="1" ht="12.75">
      <c r="A8" s="59" t="s">
        <v>3</v>
      </c>
      <c r="F8" s="301" t="s">
        <v>250</v>
      </c>
      <c r="H8" s="60"/>
    </row>
    <row r="9" spans="1:9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</row>
    <row r="10" spans="1:9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</row>
    <row r="11" spans="1:9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336</v>
      </c>
      <c r="B13" s="64"/>
      <c r="C13" s="64"/>
      <c r="D13" s="69"/>
      <c r="E13" s="70"/>
      <c r="F13" s="70"/>
      <c r="G13" s="65">
        <f>'[2]Моторная 30А'!$G$34</f>
        <v>-28398.148300000015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0" s="59" customFormat="1" ht="14.25">
      <c r="A16" s="75" t="s">
        <v>14</v>
      </c>
      <c r="B16" s="41" t="s">
        <v>15</v>
      </c>
      <c r="C16" s="197">
        <f>C17+C18+C19+C20+C21</f>
        <v>13.379999999999999</v>
      </c>
      <c r="D16" s="76">
        <v>445235.43</v>
      </c>
      <c r="E16" s="76">
        <v>434593.5</v>
      </c>
      <c r="F16" s="76">
        <f aca="true" t="shared" si="0" ref="F16:F21">D16</f>
        <v>445235.43</v>
      </c>
      <c r="G16" s="77">
        <f aca="true" t="shared" si="1" ref="G16:G21">D16-E16</f>
        <v>10641.929999999993</v>
      </c>
      <c r="H16" s="78">
        <f>C16</f>
        <v>13.379999999999999</v>
      </c>
      <c r="I16" s="79"/>
      <c r="J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115135.61941704036</v>
      </c>
      <c r="E17" s="83">
        <f>E16*I17</f>
        <v>112383.67040358744</v>
      </c>
      <c r="F17" s="83">
        <f t="shared" si="0"/>
        <v>115135.61941704036</v>
      </c>
      <c r="G17" s="84">
        <f t="shared" si="1"/>
        <v>2751.9490134529187</v>
      </c>
      <c r="H17" s="78">
        <f>C17</f>
        <v>3.46</v>
      </c>
      <c r="I17" s="59">
        <f>H17/H16</f>
        <v>0.2585949177877429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56236.7620852018</v>
      </c>
      <c r="E18" s="83">
        <f>E16*I18</f>
        <v>54892.60201793723</v>
      </c>
      <c r="F18" s="83">
        <f t="shared" si="0"/>
        <v>56236.7620852018</v>
      </c>
      <c r="G18" s="84">
        <f t="shared" si="1"/>
        <v>1344.1600672645727</v>
      </c>
      <c r="H18" s="78">
        <f>C18</f>
        <v>1.69</v>
      </c>
      <c r="I18" s="59">
        <f>H18/H16</f>
        <v>0.12630792227204785</v>
      </c>
    </row>
    <row r="19" spans="1:9" s="59" customFormat="1" ht="15">
      <c r="A19" s="81" t="s">
        <v>20</v>
      </c>
      <c r="B19" s="34" t="s">
        <v>21</v>
      </c>
      <c r="C19" s="82">
        <v>1.69</v>
      </c>
      <c r="D19" s="83">
        <f>D16*I19</f>
        <v>56236.7620852018</v>
      </c>
      <c r="E19" s="83">
        <f>E16*I19</f>
        <v>54892.60201793723</v>
      </c>
      <c r="F19" s="83">
        <f t="shared" si="0"/>
        <v>56236.7620852018</v>
      </c>
      <c r="G19" s="84">
        <f t="shared" si="1"/>
        <v>1344.1600672645727</v>
      </c>
      <c r="H19" s="78">
        <f>C19</f>
        <v>1.69</v>
      </c>
      <c r="I19" s="59">
        <f>H19/H16</f>
        <v>0.12630792227204785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101159.61937219732</v>
      </c>
      <c r="E20" s="83">
        <f>E16*I20</f>
        <v>98741.72197309419</v>
      </c>
      <c r="F20" s="83">
        <f t="shared" si="0"/>
        <v>101159.61937219732</v>
      </c>
      <c r="G20" s="84">
        <f t="shared" si="1"/>
        <v>2417.897399103138</v>
      </c>
      <c r="H20" s="78">
        <f>C20</f>
        <v>3.04</v>
      </c>
      <c r="I20" s="59">
        <f>H20/H16</f>
        <v>0.22720478325859494</v>
      </c>
    </row>
    <row r="21" spans="1:9" s="59" customFormat="1" ht="15">
      <c r="A21" s="81" t="s">
        <v>24</v>
      </c>
      <c r="B21" s="34" t="s">
        <v>180</v>
      </c>
      <c r="C21" s="82">
        <v>3.5</v>
      </c>
      <c r="D21" s="83">
        <f>I21*D16</f>
        <v>116466.66704035873</v>
      </c>
      <c r="E21" s="83">
        <f>I21*E16</f>
        <v>113682.90358744394</v>
      </c>
      <c r="F21" s="83">
        <f t="shared" si="0"/>
        <v>116466.66704035873</v>
      </c>
      <c r="G21" s="84">
        <f t="shared" si="1"/>
        <v>2783.763452914791</v>
      </c>
      <c r="H21" s="78">
        <v>3.5</v>
      </c>
      <c r="I21" s="59">
        <f>H21/H16</f>
        <v>0.2615844544095665</v>
      </c>
    </row>
    <row r="22" spans="1:9" s="89" customFormat="1" ht="14.25">
      <c r="A22" s="86" t="s">
        <v>25</v>
      </c>
      <c r="B22" s="86" t="s">
        <v>26</v>
      </c>
      <c r="C22" s="87">
        <v>0</v>
      </c>
      <c r="D22" s="87">
        <v>0</v>
      </c>
      <c r="E22" s="87">
        <v>0</v>
      </c>
      <c r="F22" s="87">
        <v>0</v>
      </c>
      <c r="G22" s="77">
        <f aca="true" t="shared" si="2" ref="G22:G31">D22-E22</f>
        <v>0</v>
      </c>
      <c r="H22" s="88"/>
      <c r="I22" s="88"/>
    </row>
    <row r="23" spans="1:9" s="89" customFormat="1" ht="14.25">
      <c r="A23" s="86" t="s">
        <v>27</v>
      </c>
      <c r="B23" s="86" t="s">
        <v>28</v>
      </c>
      <c r="C23" s="87">
        <v>0</v>
      </c>
      <c r="D23" s="87">
        <v>0</v>
      </c>
      <c r="E23" s="87">
        <v>0</v>
      </c>
      <c r="F23" s="87">
        <f>D23</f>
        <v>0</v>
      </c>
      <c r="G23" s="77">
        <f t="shared" si="2"/>
        <v>0</v>
      </c>
      <c r="H23" s="88"/>
      <c r="I23" s="88"/>
    </row>
    <row r="24" spans="1:9" s="89" customFormat="1" ht="14.25">
      <c r="A24" s="86" t="s">
        <v>29</v>
      </c>
      <c r="B24" s="86" t="s">
        <v>30</v>
      </c>
      <c r="C24" s="87">
        <v>0</v>
      </c>
      <c r="D24" s="87">
        <v>0</v>
      </c>
      <c r="E24" s="87">
        <v>0</v>
      </c>
      <c r="F24" s="87">
        <v>0</v>
      </c>
      <c r="G24" s="77">
        <f t="shared" si="2"/>
        <v>0</v>
      </c>
      <c r="H24" s="88"/>
      <c r="I24" s="88"/>
    </row>
    <row r="25" spans="1:9" s="89" customFormat="1" ht="14.25">
      <c r="A25" s="86" t="s">
        <v>31</v>
      </c>
      <c r="B25" s="86" t="s">
        <v>116</v>
      </c>
      <c r="C25" s="260">
        <v>1.86</v>
      </c>
      <c r="D25" s="87">
        <v>59658.96</v>
      </c>
      <c r="E25" s="87">
        <v>58571.48</v>
      </c>
      <c r="F25" s="87">
        <f>F40</f>
        <v>95795.7148</v>
      </c>
      <c r="G25" s="77">
        <f t="shared" si="2"/>
        <v>1087.479999999996</v>
      </c>
      <c r="H25" s="88"/>
      <c r="I25" s="88"/>
    </row>
    <row r="26" spans="1:9" ht="14.25">
      <c r="A26" s="41" t="s">
        <v>33</v>
      </c>
      <c r="B26" s="41" t="s">
        <v>161</v>
      </c>
      <c r="C26" s="77" t="s">
        <v>297</v>
      </c>
      <c r="D26" s="77"/>
      <c r="E26" s="77"/>
      <c r="F26" s="87">
        <f>D26</f>
        <v>0</v>
      </c>
      <c r="G26" s="77">
        <f t="shared" si="2"/>
        <v>0</v>
      </c>
      <c r="H26" s="98"/>
      <c r="I26" s="98"/>
    </row>
    <row r="27" spans="1:9" ht="14.25">
      <c r="A27" s="41" t="s">
        <v>35</v>
      </c>
      <c r="B27" s="41" t="s">
        <v>36</v>
      </c>
      <c r="C27" s="77"/>
      <c r="D27" s="77">
        <f>SUM(D28:D31)</f>
        <v>1407613.94</v>
      </c>
      <c r="E27" s="77">
        <f>SUM(E28:E31)</f>
        <v>1383377.99</v>
      </c>
      <c r="F27" s="77">
        <f>SUM(F28:F31)</f>
        <v>1407613.94</v>
      </c>
      <c r="G27" s="77">
        <f t="shared" si="2"/>
        <v>24235.949999999953</v>
      </c>
      <c r="H27" s="98"/>
      <c r="I27" s="98"/>
    </row>
    <row r="28" spans="1:7" ht="15">
      <c r="A28" s="34" t="s">
        <v>37</v>
      </c>
      <c r="B28" s="34" t="s">
        <v>165</v>
      </c>
      <c r="C28" s="285">
        <v>6</v>
      </c>
      <c r="D28" s="84">
        <v>41936.1</v>
      </c>
      <c r="E28" s="84">
        <v>41086.4</v>
      </c>
      <c r="F28" s="84">
        <f>D28</f>
        <v>41936.1</v>
      </c>
      <c r="G28" s="84">
        <f t="shared" si="2"/>
        <v>849.6999999999971</v>
      </c>
    </row>
    <row r="29" spans="1:7" ht="15">
      <c r="A29" s="34" t="s">
        <v>39</v>
      </c>
      <c r="B29" s="34" t="s">
        <v>137</v>
      </c>
      <c r="C29" s="285">
        <v>57.08</v>
      </c>
      <c r="D29" s="84">
        <v>346087.73</v>
      </c>
      <c r="E29" s="84">
        <v>338961.32</v>
      </c>
      <c r="F29" s="84">
        <f>D29</f>
        <v>346087.73</v>
      </c>
      <c r="G29" s="84">
        <f t="shared" si="2"/>
        <v>7126.409999999974</v>
      </c>
    </row>
    <row r="30" spans="1:7" ht="15">
      <c r="A30" s="34" t="s">
        <v>42</v>
      </c>
      <c r="B30" s="34" t="s">
        <v>340</v>
      </c>
      <c r="C30" s="286"/>
      <c r="D30" s="84">
        <v>0</v>
      </c>
      <c r="E30" s="84">
        <v>0</v>
      </c>
      <c r="F30" s="84">
        <f>D30</f>
        <v>0</v>
      </c>
      <c r="G30" s="84">
        <f t="shared" si="2"/>
        <v>0</v>
      </c>
    </row>
    <row r="31" spans="1:7" ht="15">
      <c r="A31" s="34" t="s">
        <v>41</v>
      </c>
      <c r="B31" s="34" t="s">
        <v>43</v>
      </c>
      <c r="C31" s="285">
        <v>2638.8</v>
      </c>
      <c r="D31" s="84">
        <v>1019590.11</v>
      </c>
      <c r="E31" s="84">
        <v>1003330.27</v>
      </c>
      <c r="F31" s="84">
        <f>D31</f>
        <v>1019590.11</v>
      </c>
      <c r="G31" s="84">
        <f t="shared" si="2"/>
        <v>16259.839999999967</v>
      </c>
    </row>
    <row r="32" spans="1:9" s="102" customFormat="1" ht="18" customHeight="1" thickBot="1">
      <c r="A32" s="446" t="s">
        <v>294</v>
      </c>
      <c r="B32" s="447"/>
      <c r="C32" s="447"/>
      <c r="D32" s="448"/>
      <c r="E32" s="448"/>
      <c r="F32" s="448"/>
      <c r="G32" s="101"/>
      <c r="H32" s="101"/>
      <c r="I32" s="101"/>
    </row>
    <row r="33" spans="1:9" s="67" customFormat="1" ht="15.75" thickBot="1">
      <c r="A33" s="455" t="s">
        <v>413</v>
      </c>
      <c r="B33" s="456"/>
      <c r="C33" s="456"/>
      <c r="D33" s="65">
        <v>649424.23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415</v>
      </c>
      <c r="B35" s="64"/>
      <c r="C35" s="64"/>
      <c r="D35" s="69"/>
      <c r="E35" s="70"/>
      <c r="F35" s="70"/>
      <c r="G35" s="144">
        <f>G13+E25-F25</f>
        <v>-65622.3831</v>
      </c>
      <c r="H35" s="62"/>
      <c r="I35" s="62"/>
    </row>
    <row r="36" spans="1:9" s="102" customFormat="1" ht="13.5">
      <c r="A36" s="104"/>
      <c r="B36" s="104"/>
      <c r="C36" s="104"/>
      <c r="D36" s="104"/>
      <c r="E36" s="101"/>
      <c r="F36" s="101"/>
      <c r="G36" s="101"/>
      <c r="H36" s="101"/>
      <c r="I36" s="101"/>
    </row>
    <row r="37" spans="1:9" s="102" customFormat="1" ht="27" customHeight="1">
      <c r="A37" s="444" t="s">
        <v>44</v>
      </c>
      <c r="B37" s="444"/>
      <c r="C37" s="444"/>
      <c r="D37" s="444"/>
      <c r="E37" s="444"/>
      <c r="F37" s="444"/>
      <c r="G37" s="444"/>
      <c r="H37" s="444"/>
      <c r="I37" s="444"/>
    </row>
    <row r="39" spans="1:7" ht="28.5">
      <c r="A39" s="105" t="s">
        <v>11</v>
      </c>
      <c r="B39" s="471" t="s">
        <v>45</v>
      </c>
      <c r="C39" s="484"/>
      <c r="D39" s="105" t="s">
        <v>163</v>
      </c>
      <c r="E39" s="105" t="s">
        <v>162</v>
      </c>
      <c r="F39" s="471" t="s">
        <v>46</v>
      </c>
      <c r="G39" s="484"/>
    </row>
    <row r="40" spans="1:7" s="74" customFormat="1" ht="15">
      <c r="A40" s="109" t="s">
        <v>47</v>
      </c>
      <c r="B40" s="473" t="s">
        <v>111</v>
      </c>
      <c r="C40" s="491"/>
      <c r="D40" s="110"/>
      <c r="E40" s="110"/>
      <c r="F40" s="496">
        <f>SUM(F41:G46)</f>
        <v>95795.7148</v>
      </c>
      <c r="G40" s="483"/>
    </row>
    <row r="41" spans="1:7" s="114" customFormat="1" ht="15">
      <c r="A41" s="34" t="s">
        <v>16</v>
      </c>
      <c r="B41" s="462" t="s">
        <v>539</v>
      </c>
      <c r="C41" s="489"/>
      <c r="D41" s="403" t="s">
        <v>164</v>
      </c>
      <c r="E41" s="405">
        <v>1</v>
      </c>
      <c r="F41" s="525">
        <v>4970</v>
      </c>
      <c r="G41" s="526"/>
    </row>
    <row r="42" spans="1:7" s="114" customFormat="1" ht="15">
      <c r="A42" s="34" t="s">
        <v>20</v>
      </c>
      <c r="B42" s="462" t="s">
        <v>538</v>
      </c>
      <c r="C42" s="498"/>
      <c r="D42" s="403" t="s">
        <v>164</v>
      </c>
      <c r="E42" s="405">
        <v>1</v>
      </c>
      <c r="F42" s="525">
        <v>71040</v>
      </c>
      <c r="G42" s="526"/>
    </row>
    <row r="43" spans="1:7" s="59" customFormat="1" ht="15">
      <c r="A43" s="34" t="s">
        <v>22</v>
      </c>
      <c r="B43" s="462" t="s">
        <v>820</v>
      </c>
      <c r="C43" s="498"/>
      <c r="D43" s="403"/>
      <c r="E43" s="405"/>
      <c r="F43" s="624">
        <v>8000</v>
      </c>
      <c r="G43" s="625"/>
    </row>
    <row r="44" spans="1:7" s="59" customFormat="1" ht="15">
      <c r="A44" s="34" t="s">
        <v>24</v>
      </c>
      <c r="B44" s="449" t="s">
        <v>814</v>
      </c>
      <c r="C44" s="641"/>
      <c r="D44" s="118" t="s">
        <v>391</v>
      </c>
      <c r="E44" s="121">
        <v>4</v>
      </c>
      <c r="F44" s="521">
        <v>11200</v>
      </c>
      <c r="G44" s="522"/>
    </row>
    <row r="45" spans="1:7" s="59" customFormat="1" ht="15">
      <c r="A45" s="34" t="s">
        <v>103</v>
      </c>
      <c r="B45" s="462"/>
      <c r="C45" s="498"/>
      <c r="D45" s="403"/>
      <c r="E45" s="405"/>
      <c r="F45" s="525"/>
      <c r="G45" s="526"/>
    </row>
    <row r="46" spans="1:7" ht="15">
      <c r="A46" s="34" t="s">
        <v>104</v>
      </c>
      <c r="B46" s="511" t="s">
        <v>188</v>
      </c>
      <c r="C46" s="512"/>
      <c r="D46" s="123"/>
      <c r="E46" s="123"/>
      <c r="F46" s="495">
        <f>E25*1%</f>
        <v>585.7148000000001</v>
      </c>
      <c r="G46" s="495"/>
    </row>
    <row r="47" spans="1:7" ht="12.75">
      <c r="A47" s="59"/>
      <c r="B47" s="59"/>
      <c r="C47" s="59"/>
      <c r="D47" s="59"/>
      <c r="E47" s="59"/>
      <c r="F47" s="59"/>
      <c r="G47" s="59"/>
    </row>
    <row r="48" spans="1:7" ht="15">
      <c r="A48" s="67" t="s">
        <v>55</v>
      </c>
      <c r="B48" s="67"/>
      <c r="C48" s="125" t="s">
        <v>49</v>
      </c>
      <c r="D48" s="67"/>
      <c r="E48" s="67"/>
      <c r="F48" s="67" t="s">
        <v>90</v>
      </c>
      <c r="G48" s="67"/>
    </row>
    <row r="49" spans="1:7" ht="15">
      <c r="A49" s="67"/>
      <c r="B49" s="67"/>
      <c r="C49" s="125"/>
      <c r="D49" s="67"/>
      <c r="E49" s="67"/>
      <c r="F49" s="126" t="s">
        <v>545</v>
      </c>
      <c r="G49" s="67"/>
    </row>
    <row r="50" spans="1:7" ht="15">
      <c r="A50" s="67" t="s">
        <v>50</v>
      </c>
      <c r="B50" s="67"/>
      <c r="C50" s="125"/>
      <c r="D50" s="67"/>
      <c r="E50" s="67"/>
      <c r="F50" s="67"/>
      <c r="G50" s="67"/>
    </row>
    <row r="51" spans="1:7" ht="15">
      <c r="A51" s="67"/>
      <c r="B51" s="67"/>
      <c r="C51" s="127" t="s">
        <v>51</v>
      </c>
      <c r="D51" s="67"/>
      <c r="E51" s="128"/>
      <c r="F51" s="128"/>
      <c r="G51" s="128"/>
    </row>
  </sheetData>
  <sheetProtection/>
  <mergeCells count="26">
    <mergeCell ref="B44:C44"/>
    <mergeCell ref="B45:C45"/>
    <mergeCell ref="F44:G44"/>
    <mergeCell ref="F45:G45"/>
    <mergeCell ref="A10:I10"/>
    <mergeCell ref="A1:I1"/>
    <mergeCell ref="A2:I2"/>
    <mergeCell ref="A3:I3"/>
    <mergeCell ref="A5:I5"/>
    <mergeCell ref="A9:I9"/>
    <mergeCell ref="A11:I11"/>
    <mergeCell ref="A33:C33"/>
    <mergeCell ref="A37:I37"/>
    <mergeCell ref="B39:C39"/>
    <mergeCell ref="F39:G39"/>
    <mergeCell ref="A32:F32"/>
    <mergeCell ref="B46:C46"/>
    <mergeCell ref="F46:G46"/>
    <mergeCell ref="B43:C43"/>
    <mergeCell ref="F43:G43"/>
    <mergeCell ref="B40:C40"/>
    <mergeCell ref="F40:G40"/>
    <mergeCell ref="B41:C41"/>
    <mergeCell ref="F41:G41"/>
    <mergeCell ref="B42:C42"/>
    <mergeCell ref="F42:G42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7030A0"/>
  </sheetPr>
  <dimension ref="A1:N53"/>
  <sheetViews>
    <sheetView zoomScalePageLayoutView="0" workbookViewId="0" topLeftCell="A37">
      <selection activeCell="F47" sqref="F47:G47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8" s="59" customFormat="1" ht="16.5" customHeight="1">
      <c r="A7" s="59" t="s">
        <v>2</v>
      </c>
      <c r="F7" s="60" t="s">
        <v>182</v>
      </c>
      <c r="H7" s="60"/>
    </row>
    <row r="8" spans="1:8" s="59" customFormat="1" ht="12.75">
      <c r="A8" s="59" t="s">
        <v>3</v>
      </c>
      <c r="F8" s="301" t="s">
        <v>249</v>
      </c>
      <c r="H8" s="60"/>
    </row>
    <row r="9" spans="1:11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431</v>
      </c>
      <c r="B13" s="64"/>
      <c r="C13" s="64"/>
      <c r="D13" s="69"/>
      <c r="E13" s="70"/>
      <c r="F13" s="70"/>
      <c r="G13" s="71">
        <f>'[2]Грабцевское шоссе 160'!$G$34</f>
        <v>-319024.9312000001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4" s="59" customFormat="1" ht="14.25">
      <c r="A16" s="75" t="s">
        <v>14</v>
      </c>
      <c r="B16" s="41" t="s">
        <v>15</v>
      </c>
      <c r="C16" s="97">
        <f>C17+C18+C19+C20+C21</f>
        <v>12.84</v>
      </c>
      <c r="D16" s="76">
        <v>1312744</v>
      </c>
      <c r="E16" s="76">
        <v>1311340.8</v>
      </c>
      <c r="F16" s="76">
        <f aca="true" t="shared" si="0" ref="F16:F24">D16</f>
        <v>1312744</v>
      </c>
      <c r="G16" s="77">
        <f aca="true" t="shared" si="1" ref="G16:G21">D16-E16</f>
        <v>1403.1999999999534</v>
      </c>
      <c r="H16" s="78">
        <f aca="true" t="shared" si="2" ref="H16:H21">C16</f>
        <v>12.84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353745.65732087224</v>
      </c>
      <c r="E17" s="83">
        <f>E16*I17</f>
        <v>353367.5364485981</v>
      </c>
      <c r="F17" s="83">
        <f t="shared" si="0"/>
        <v>353745.65732087224</v>
      </c>
      <c r="G17" s="84">
        <f t="shared" si="1"/>
        <v>378.1208722741576</v>
      </c>
      <c r="H17" s="78">
        <f t="shared" si="2"/>
        <v>3.46</v>
      </c>
      <c r="I17" s="59">
        <f>H17/H16</f>
        <v>0.26947040498442365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172783.28348909656</v>
      </c>
      <c r="E18" s="83">
        <f>E16*I18</f>
        <v>172598.59439252334</v>
      </c>
      <c r="F18" s="83">
        <f t="shared" si="0"/>
        <v>172783.28348909656</v>
      </c>
      <c r="G18" s="84">
        <f t="shared" si="1"/>
        <v>184.68909657321637</v>
      </c>
      <c r="H18" s="78">
        <f t="shared" si="2"/>
        <v>1.69</v>
      </c>
      <c r="I18" s="59">
        <f>H18/H16</f>
        <v>0.13161993769470404</v>
      </c>
    </row>
    <row r="19" spans="1:9" s="59" customFormat="1" ht="15">
      <c r="A19" s="81" t="s">
        <v>20</v>
      </c>
      <c r="B19" s="34" t="s">
        <v>21</v>
      </c>
      <c r="C19" s="82">
        <v>2.15</v>
      </c>
      <c r="D19" s="83">
        <f>D16*I19</f>
        <v>219813.05295950154</v>
      </c>
      <c r="E19" s="83">
        <f>E16*I19</f>
        <v>219578.09345794393</v>
      </c>
      <c r="F19" s="83">
        <f t="shared" si="0"/>
        <v>219813.05295950154</v>
      </c>
      <c r="G19" s="84">
        <f t="shared" si="1"/>
        <v>234.9595015576051</v>
      </c>
      <c r="H19" s="78">
        <f t="shared" si="2"/>
        <v>2.15</v>
      </c>
      <c r="I19" s="59">
        <f>H19/H16</f>
        <v>0.1674454828660436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310805.4330218069</v>
      </c>
      <c r="E20" s="83">
        <f>E16*I20</f>
        <v>310473.2112149533</v>
      </c>
      <c r="F20" s="83">
        <f t="shared" si="0"/>
        <v>310805.4330218069</v>
      </c>
      <c r="G20" s="84">
        <f t="shared" si="1"/>
        <v>332.2218068536022</v>
      </c>
      <c r="H20" s="78">
        <f t="shared" si="2"/>
        <v>3.04</v>
      </c>
      <c r="I20" s="59">
        <f>H20/H16</f>
        <v>0.2367601246105919</v>
      </c>
    </row>
    <row r="21" spans="1:9" s="59" customFormat="1" ht="15">
      <c r="A21" s="81" t="s">
        <v>24</v>
      </c>
      <c r="B21" s="34" t="s">
        <v>180</v>
      </c>
      <c r="C21" s="82">
        <v>2.5</v>
      </c>
      <c r="D21" s="83">
        <f>I21*D16</f>
        <v>255596.57320872272</v>
      </c>
      <c r="E21" s="83">
        <f>I21*E16</f>
        <v>255323.36448598132</v>
      </c>
      <c r="F21" s="83">
        <f>D21</f>
        <v>255596.57320872272</v>
      </c>
      <c r="G21" s="84">
        <f t="shared" si="1"/>
        <v>273.2087227414013</v>
      </c>
      <c r="H21" s="78">
        <f t="shared" si="2"/>
        <v>2.5</v>
      </c>
      <c r="I21" s="59">
        <f>H21/H16</f>
        <v>0.19470404984423675</v>
      </c>
    </row>
    <row r="22" spans="1:11" s="89" customFormat="1" ht="14.25">
      <c r="A22" s="86" t="s">
        <v>25</v>
      </c>
      <c r="B22" s="86" t="s">
        <v>26</v>
      </c>
      <c r="C22" s="46">
        <v>3.86</v>
      </c>
      <c r="D22" s="87">
        <v>390750.72</v>
      </c>
      <c r="E22" s="87">
        <v>390395.01</v>
      </c>
      <c r="F22" s="87">
        <f t="shared" si="0"/>
        <v>390750.72</v>
      </c>
      <c r="G22" s="77">
        <f aca="true" t="shared" si="3" ref="G22:G31">D22-E22</f>
        <v>355.70999999996275</v>
      </c>
      <c r="H22" s="88"/>
      <c r="I22" s="88"/>
      <c r="J22" s="88"/>
      <c r="K22" s="88"/>
    </row>
    <row r="23" spans="1:11" s="89" customFormat="1" ht="14.25">
      <c r="A23" s="86" t="s">
        <v>27</v>
      </c>
      <c r="B23" s="86" t="s">
        <v>254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3"/>
        <v>0</v>
      </c>
      <c r="H23" s="88"/>
      <c r="I23" s="88"/>
      <c r="J23" s="88"/>
      <c r="K23" s="88"/>
    </row>
    <row r="24" spans="1:11" s="89" customFormat="1" ht="14.25">
      <c r="A24" s="86" t="s">
        <v>29</v>
      </c>
      <c r="B24" s="86" t="s">
        <v>30</v>
      </c>
      <c r="C24" s="46">
        <v>0</v>
      </c>
      <c r="D24" s="87">
        <v>0</v>
      </c>
      <c r="E24" s="87">
        <v>128.03</v>
      </c>
      <c r="F24" s="87">
        <f t="shared" si="0"/>
        <v>0</v>
      </c>
      <c r="G24" s="77">
        <f t="shared" si="3"/>
        <v>-128.03</v>
      </c>
      <c r="H24" s="88"/>
      <c r="I24" s="88"/>
      <c r="J24" s="88"/>
      <c r="K24" s="88"/>
    </row>
    <row r="25" spans="1:11" s="89" customFormat="1" ht="14.25">
      <c r="A25" s="86" t="s">
        <v>31</v>
      </c>
      <c r="B25" s="86" t="s">
        <v>116</v>
      </c>
      <c r="C25" s="95">
        <v>2.06</v>
      </c>
      <c r="D25" s="87">
        <v>208535.28</v>
      </c>
      <c r="E25" s="87">
        <v>208379.09</v>
      </c>
      <c r="F25" s="87">
        <f>F40</f>
        <v>190897.4909</v>
      </c>
      <c r="G25" s="77">
        <f t="shared" si="3"/>
        <v>156.19000000000233</v>
      </c>
      <c r="H25" s="88"/>
      <c r="I25" s="88"/>
      <c r="J25" s="88"/>
      <c r="K25" s="88"/>
    </row>
    <row r="26" spans="1:11" ht="14.25">
      <c r="A26" s="41" t="s">
        <v>33</v>
      </c>
      <c r="B26" s="41" t="s">
        <v>161</v>
      </c>
      <c r="C26" s="97" t="s">
        <v>297</v>
      </c>
      <c r="D26" s="77"/>
      <c r="E26" s="77"/>
      <c r="F26" s="87">
        <f>D26</f>
        <v>0</v>
      </c>
      <c r="G26" s="77">
        <f t="shared" si="3"/>
        <v>0</v>
      </c>
      <c r="H26" s="98"/>
      <c r="I26" s="98"/>
      <c r="J26" s="98"/>
      <c r="K26" s="98"/>
    </row>
    <row r="27" spans="1:11" ht="14.25">
      <c r="A27" s="41" t="s">
        <v>35</v>
      </c>
      <c r="B27" s="41" t="s">
        <v>36</v>
      </c>
      <c r="C27" s="97">
        <v>0</v>
      </c>
      <c r="D27" s="77">
        <f>SUM(D28:D31)</f>
        <v>4075987.76</v>
      </c>
      <c r="E27" s="77">
        <f>SUM(E28:E31)</f>
        <v>4070756.9399999995</v>
      </c>
      <c r="F27" s="77">
        <f>SUM(F28:F31)</f>
        <v>4075987.76</v>
      </c>
      <c r="G27" s="77">
        <f t="shared" si="3"/>
        <v>5230.820000000298</v>
      </c>
      <c r="H27" s="98"/>
      <c r="I27" s="98"/>
      <c r="J27" s="98"/>
      <c r="K27" s="98"/>
    </row>
    <row r="28" spans="1:7" ht="15">
      <c r="A28" s="34" t="s">
        <v>37</v>
      </c>
      <c r="B28" s="34" t="s">
        <v>165</v>
      </c>
      <c r="C28" s="285">
        <v>6</v>
      </c>
      <c r="D28" s="84">
        <v>239337.67</v>
      </c>
      <c r="E28" s="84">
        <v>238476.81</v>
      </c>
      <c r="F28" s="84">
        <f>D28</f>
        <v>239337.67</v>
      </c>
      <c r="G28" s="84">
        <f t="shared" si="3"/>
        <v>860.8600000000151</v>
      </c>
    </row>
    <row r="29" spans="1:7" ht="15">
      <c r="A29" s="34" t="s">
        <v>39</v>
      </c>
      <c r="B29" s="34" t="s">
        <v>137</v>
      </c>
      <c r="C29" s="285">
        <v>57.08</v>
      </c>
      <c r="D29" s="84">
        <v>882922.78</v>
      </c>
      <c r="E29" s="84">
        <v>877512.38</v>
      </c>
      <c r="F29" s="84">
        <f>D29</f>
        <v>882922.78</v>
      </c>
      <c r="G29" s="84">
        <f t="shared" si="3"/>
        <v>5410.400000000023</v>
      </c>
    </row>
    <row r="30" spans="1:7" ht="15">
      <c r="A30" s="34" t="s">
        <v>42</v>
      </c>
      <c r="B30" s="34" t="s">
        <v>340</v>
      </c>
      <c r="C30" s="286">
        <v>179.86</v>
      </c>
      <c r="D30" s="84">
        <v>1151148.07</v>
      </c>
      <c r="E30" s="84">
        <v>1146824.2</v>
      </c>
      <c r="F30" s="84">
        <f>D30</f>
        <v>1151148.07</v>
      </c>
      <c r="G30" s="84">
        <f t="shared" si="3"/>
        <v>4323.870000000112</v>
      </c>
    </row>
    <row r="31" spans="1:7" ht="15">
      <c r="A31" s="34" t="s">
        <v>41</v>
      </c>
      <c r="B31" s="34" t="s">
        <v>43</v>
      </c>
      <c r="C31" s="285">
        <v>2167.15</v>
      </c>
      <c r="D31" s="84">
        <v>1802579.24</v>
      </c>
      <c r="E31" s="84">
        <v>1807943.55</v>
      </c>
      <c r="F31" s="84">
        <f>D31</f>
        <v>1802579.24</v>
      </c>
      <c r="G31" s="84">
        <f t="shared" si="3"/>
        <v>-5364.310000000056</v>
      </c>
    </row>
    <row r="32" spans="1:9" s="102" customFormat="1" ht="15.75" customHeight="1" thickBot="1">
      <c r="A32" s="446" t="s">
        <v>294</v>
      </c>
      <c r="B32" s="447"/>
      <c r="C32" s="447"/>
      <c r="D32" s="448"/>
      <c r="E32" s="448"/>
      <c r="F32" s="448"/>
      <c r="G32" s="101"/>
      <c r="H32" s="101"/>
      <c r="I32" s="101"/>
    </row>
    <row r="33" spans="1:9" s="67" customFormat="1" ht="15.75" thickBot="1">
      <c r="A33" s="455" t="s">
        <v>413</v>
      </c>
      <c r="B33" s="456"/>
      <c r="C33" s="456"/>
      <c r="D33" s="65">
        <v>1377867.94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11" s="67" customFormat="1" ht="15.75" thickBot="1">
      <c r="A35" s="63" t="s">
        <v>415</v>
      </c>
      <c r="B35" s="64"/>
      <c r="C35" s="64"/>
      <c r="D35" s="69"/>
      <c r="E35" s="70"/>
      <c r="F35" s="70"/>
      <c r="G35" s="71">
        <f>G13+E25-F25</f>
        <v>-301543.3321000001</v>
      </c>
      <c r="H35" s="62"/>
      <c r="I35" s="62"/>
      <c r="K35" s="145"/>
    </row>
    <row r="36" spans="1:11" s="102" customFormat="1" ht="13.5">
      <c r="A36" s="104"/>
      <c r="B36" s="104"/>
      <c r="C36" s="104"/>
      <c r="D36" s="104"/>
      <c r="E36" s="101"/>
      <c r="F36" s="101"/>
      <c r="G36" s="101"/>
      <c r="H36" s="101"/>
      <c r="I36" s="101"/>
      <c r="J36" s="101"/>
      <c r="K36" s="101"/>
    </row>
    <row r="37" spans="1:11" ht="31.5" customHeight="1">
      <c r="A37" s="444" t="s">
        <v>179</v>
      </c>
      <c r="B37" s="444"/>
      <c r="C37" s="444"/>
      <c r="D37" s="444"/>
      <c r="E37" s="444"/>
      <c r="F37" s="444"/>
      <c r="G37" s="444"/>
      <c r="H37" s="444"/>
      <c r="I37" s="444"/>
      <c r="J37" s="444"/>
      <c r="K37" s="444"/>
    </row>
    <row r="39" spans="1:12" s="74" customFormat="1" ht="37.5" customHeight="1">
      <c r="A39" s="105" t="s">
        <v>11</v>
      </c>
      <c r="B39" s="471" t="s">
        <v>45</v>
      </c>
      <c r="C39" s="484"/>
      <c r="D39" s="105" t="s">
        <v>163</v>
      </c>
      <c r="E39" s="105" t="s">
        <v>162</v>
      </c>
      <c r="F39" s="471" t="s">
        <v>46</v>
      </c>
      <c r="G39" s="484"/>
      <c r="H39" s="244"/>
      <c r="I39" s="245"/>
      <c r="L39" s="108"/>
    </row>
    <row r="40" spans="1:12" s="114" customFormat="1" ht="15" customHeight="1">
      <c r="A40" s="109" t="s">
        <v>47</v>
      </c>
      <c r="B40" s="473" t="s">
        <v>111</v>
      </c>
      <c r="C40" s="491"/>
      <c r="D40" s="110"/>
      <c r="E40" s="110"/>
      <c r="F40" s="496">
        <f>SUM(F41:G48)</f>
        <v>190897.4909</v>
      </c>
      <c r="G40" s="483"/>
      <c r="H40" s="246"/>
      <c r="I40" s="247"/>
      <c r="L40" s="115"/>
    </row>
    <row r="41" spans="1:12" ht="15" customHeight="1">
      <c r="A41" s="34" t="s">
        <v>16</v>
      </c>
      <c r="B41" s="462" t="s">
        <v>731</v>
      </c>
      <c r="C41" s="498"/>
      <c r="D41" s="345" t="s">
        <v>216</v>
      </c>
      <c r="E41" s="345">
        <v>0.036</v>
      </c>
      <c r="F41" s="618">
        <v>25613.7</v>
      </c>
      <c r="G41" s="619"/>
      <c r="H41" s="248"/>
      <c r="I41" s="249"/>
      <c r="L41" s="119"/>
    </row>
    <row r="42" spans="1:12" ht="15" customHeight="1">
      <c r="A42" s="34" t="s">
        <v>18</v>
      </c>
      <c r="B42" s="462" t="s">
        <v>732</v>
      </c>
      <c r="C42" s="498"/>
      <c r="D42" s="345" t="s">
        <v>164</v>
      </c>
      <c r="E42" s="345">
        <v>1</v>
      </c>
      <c r="F42" s="618">
        <v>34300</v>
      </c>
      <c r="G42" s="619"/>
      <c r="H42" s="40"/>
      <c r="I42" s="40"/>
      <c r="L42" s="119"/>
    </row>
    <row r="43" spans="1:12" ht="15">
      <c r="A43" s="34" t="s">
        <v>20</v>
      </c>
      <c r="B43" s="462" t="s">
        <v>733</v>
      </c>
      <c r="C43" s="498"/>
      <c r="D43" s="345" t="s">
        <v>164</v>
      </c>
      <c r="E43" s="345">
        <v>1</v>
      </c>
      <c r="F43" s="618">
        <v>5300</v>
      </c>
      <c r="G43" s="619"/>
      <c r="H43" s="40"/>
      <c r="I43" s="40"/>
      <c r="L43" s="119"/>
    </row>
    <row r="44" spans="1:12" ht="15">
      <c r="A44" s="34" t="s">
        <v>22</v>
      </c>
      <c r="B44" s="462" t="s">
        <v>734</v>
      </c>
      <c r="C44" s="498"/>
      <c r="D44" s="345"/>
      <c r="E44" s="345"/>
      <c r="F44" s="618">
        <v>80000</v>
      </c>
      <c r="G44" s="619"/>
      <c r="H44" s="40"/>
      <c r="I44" s="40"/>
      <c r="L44" s="119"/>
    </row>
    <row r="45" spans="1:11" s="67" customFormat="1" ht="17.25" customHeight="1">
      <c r="A45" s="252" t="s">
        <v>24</v>
      </c>
      <c r="B45" s="462" t="s">
        <v>406</v>
      </c>
      <c r="C45" s="498"/>
      <c r="D45" s="345"/>
      <c r="E45" s="345"/>
      <c r="F45" s="618">
        <v>24000</v>
      </c>
      <c r="G45" s="619"/>
      <c r="H45" s="59"/>
      <c r="I45" s="59"/>
      <c r="J45" s="59"/>
      <c r="K45" s="59"/>
    </row>
    <row r="46" spans="1:11" s="67" customFormat="1" ht="17.25" customHeight="1">
      <c r="A46" s="34" t="s">
        <v>103</v>
      </c>
      <c r="B46" s="462" t="s">
        <v>735</v>
      </c>
      <c r="C46" s="498"/>
      <c r="D46" s="345"/>
      <c r="E46" s="345"/>
      <c r="F46" s="655">
        <v>8400</v>
      </c>
      <c r="G46" s="656"/>
      <c r="H46" s="59"/>
      <c r="I46" s="59"/>
      <c r="J46" s="59"/>
      <c r="K46" s="59"/>
    </row>
    <row r="47" spans="1:11" s="67" customFormat="1" ht="17.25" customHeight="1">
      <c r="A47" s="34" t="s">
        <v>104</v>
      </c>
      <c r="B47" s="449" t="s">
        <v>814</v>
      </c>
      <c r="C47" s="641"/>
      <c r="D47" s="659" t="s">
        <v>391</v>
      </c>
      <c r="E47" s="659">
        <v>4</v>
      </c>
      <c r="F47" s="657">
        <v>11200</v>
      </c>
      <c r="G47" s="658"/>
      <c r="H47" s="59"/>
      <c r="I47" s="59"/>
      <c r="J47" s="59"/>
      <c r="K47" s="59"/>
    </row>
    <row r="48" spans="1:7" ht="15">
      <c r="A48" s="34" t="s">
        <v>104</v>
      </c>
      <c r="B48" s="511" t="s">
        <v>188</v>
      </c>
      <c r="C48" s="512"/>
      <c r="D48" s="123"/>
      <c r="E48" s="123"/>
      <c r="F48" s="495">
        <f>E25*1%</f>
        <v>2083.7909</v>
      </c>
      <c r="G48" s="495"/>
    </row>
    <row r="49" spans="1:7" ht="12.75">
      <c r="A49" s="59"/>
      <c r="B49" s="59"/>
      <c r="C49" s="59"/>
      <c r="D49" s="59"/>
      <c r="E49" s="59"/>
      <c r="F49" s="59"/>
      <c r="G49" s="59"/>
    </row>
    <row r="50" spans="1:7" ht="15">
      <c r="A50" s="67" t="s">
        <v>55</v>
      </c>
      <c r="B50" s="67"/>
      <c r="C50" s="125" t="s">
        <v>49</v>
      </c>
      <c r="D50" s="67"/>
      <c r="E50" s="67"/>
      <c r="F50" s="67" t="s">
        <v>90</v>
      </c>
      <c r="G50" s="67"/>
    </row>
    <row r="51" spans="1:7" ht="15">
      <c r="A51" s="67"/>
      <c r="B51" s="67"/>
      <c r="C51" s="125"/>
      <c r="D51" s="67"/>
      <c r="E51" s="67"/>
      <c r="F51" s="126" t="s">
        <v>545</v>
      </c>
      <c r="G51" s="67"/>
    </row>
    <row r="52" spans="1:7" ht="15">
      <c r="A52" s="67" t="s">
        <v>50</v>
      </c>
      <c r="B52" s="67"/>
      <c r="C52" s="125"/>
      <c r="D52" s="67"/>
      <c r="E52" s="67"/>
      <c r="F52" s="67"/>
      <c r="G52" s="67"/>
    </row>
    <row r="53" spans="1:7" ht="15">
      <c r="A53" s="67"/>
      <c r="B53" s="67"/>
      <c r="C53" s="127" t="s">
        <v>51</v>
      </c>
      <c r="D53" s="67"/>
      <c r="E53" s="128"/>
      <c r="F53" s="128"/>
      <c r="G53" s="128"/>
    </row>
  </sheetData>
  <sheetProtection/>
  <mergeCells count="30">
    <mergeCell ref="B47:C47"/>
    <mergeCell ref="F47:G47"/>
    <mergeCell ref="B46:C46"/>
    <mergeCell ref="F46:G46"/>
    <mergeCell ref="F41:G41"/>
    <mergeCell ref="A11:K11"/>
    <mergeCell ref="A32:F32"/>
    <mergeCell ref="F40:G40"/>
    <mergeCell ref="F42:G42"/>
    <mergeCell ref="F43:G43"/>
    <mergeCell ref="A33:C33"/>
    <mergeCell ref="A37:K37"/>
    <mergeCell ref="B39:C39"/>
    <mergeCell ref="F39:G39"/>
    <mergeCell ref="A10:K10"/>
    <mergeCell ref="A1:K1"/>
    <mergeCell ref="A2:K2"/>
    <mergeCell ref="A3:K3"/>
    <mergeCell ref="A5:K5"/>
    <mergeCell ref="A9:K9"/>
    <mergeCell ref="B48:C48"/>
    <mergeCell ref="F48:G48"/>
    <mergeCell ref="B45:C45"/>
    <mergeCell ref="F44:G44"/>
    <mergeCell ref="F45:G45"/>
    <mergeCell ref="B40:C40"/>
    <mergeCell ref="B41:C41"/>
    <mergeCell ref="B42:C42"/>
    <mergeCell ref="B43:C43"/>
    <mergeCell ref="B44:C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7030A0"/>
  </sheetPr>
  <dimension ref="A1:P47"/>
  <sheetViews>
    <sheetView zoomScalePageLayoutView="0" workbookViewId="0" topLeftCell="A31">
      <selection activeCell="F42" sqref="F42:G42"/>
    </sheetView>
  </sheetViews>
  <sheetFormatPr defaultColWidth="9.140625" defaultRowHeight="15" outlineLevelCol="1"/>
  <cols>
    <col min="1" max="1" width="5.57421875" style="57" customWidth="1"/>
    <col min="2" max="2" width="51.8515625" style="57" customWidth="1"/>
    <col min="3" max="3" width="15.7109375" style="57" customWidth="1"/>
    <col min="4" max="4" width="14.8515625" style="57" customWidth="1"/>
    <col min="5" max="5" width="13.28125" style="57" customWidth="1"/>
    <col min="6" max="6" width="12.85156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13" s="59" customFormat="1" ht="16.5" customHeight="1">
      <c r="A7" s="59" t="s">
        <v>2</v>
      </c>
      <c r="F7" s="60" t="s">
        <v>181</v>
      </c>
      <c r="H7" s="60"/>
      <c r="L7" s="251"/>
      <c r="M7" s="251"/>
    </row>
    <row r="8" spans="1:8" s="59" customFormat="1" ht="12.75">
      <c r="A8" s="59" t="s">
        <v>3</v>
      </c>
      <c r="F8" s="301" t="s">
        <v>310</v>
      </c>
      <c r="H8" s="60"/>
    </row>
    <row r="9" spans="1:11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431</v>
      </c>
      <c r="B13" s="64"/>
      <c r="C13" s="64"/>
      <c r="D13" s="69"/>
      <c r="E13" s="70"/>
      <c r="F13" s="70"/>
      <c r="G13" s="65">
        <f>'[2]Аэропортовская 9'!$G$34</f>
        <v>24398.017700000008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6" s="59" customFormat="1" ht="14.25">
      <c r="A16" s="75" t="s">
        <v>14</v>
      </c>
      <c r="B16" s="41" t="s">
        <v>15</v>
      </c>
      <c r="C16" s="197">
        <f>C17+C18+C19+C20</f>
        <v>9.879999999999999</v>
      </c>
      <c r="D16" s="76">
        <v>113091.58</v>
      </c>
      <c r="E16" s="76">
        <v>109255.59</v>
      </c>
      <c r="F16" s="76">
        <f aca="true" t="shared" si="0" ref="F16:F22">D16</f>
        <v>113091.58</v>
      </c>
      <c r="G16" s="77">
        <f>D16-E16</f>
        <v>3835.9900000000052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84">
        <v>3.46</v>
      </c>
      <c r="D17" s="83">
        <f>D16*I17</f>
        <v>39604.94603238867</v>
      </c>
      <c r="E17" s="83">
        <f>E16*I17</f>
        <v>38261.573016194336</v>
      </c>
      <c r="F17" s="83">
        <f t="shared" si="0"/>
        <v>39604.94603238867</v>
      </c>
      <c r="G17" s="84">
        <f>D17-E17</f>
        <v>1343.3730161943313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84">
        <v>1.69</v>
      </c>
      <c r="D18" s="83">
        <f>D16*I18</f>
        <v>19344.612368421054</v>
      </c>
      <c r="E18" s="83">
        <f>E16*I18</f>
        <v>18688.456184210525</v>
      </c>
      <c r="F18" s="83">
        <f t="shared" si="0"/>
        <v>19344.612368421054</v>
      </c>
      <c r="G18" s="84">
        <f>D18-E18</f>
        <v>656.1561842105293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84">
        <v>1.69</v>
      </c>
      <c r="D19" s="83">
        <f>D16*I19</f>
        <v>19344.612368421054</v>
      </c>
      <c r="E19" s="83">
        <f>E16*I19</f>
        <v>18688.456184210525</v>
      </c>
      <c r="F19" s="83">
        <f t="shared" si="0"/>
        <v>19344.612368421054</v>
      </c>
      <c r="G19" s="84">
        <f>D19-E19</f>
        <v>656.1561842105293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84">
        <v>3.04</v>
      </c>
      <c r="D20" s="83">
        <f>D16*I20</f>
        <v>34797.40923076923</v>
      </c>
      <c r="E20" s="83">
        <f>E16*I20</f>
        <v>33617.10461538462</v>
      </c>
      <c r="F20" s="83">
        <f t="shared" si="0"/>
        <v>34797.40923076923</v>
      </c>
      <c r="G20" s="84">
        <f>D20-E20</f>
        <v>1180.3046153846153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462</v>
      </c>
      <c r="C21" s="87" t="s">
        <v>798</v>
      </c>
      <c r="D21" s="87">
        <v>5720</v>
      </c>
      <c r="E21" s="87">
        <v>6910.5</v>
      </c>
      <c r="F21" s="87">
        <f t="shared" si="0"/>
        <v>5720</v>
      </c>
      <c r="G21" s="77">
        <f aca="true" t="shared" si="1" ref="G21:G30">D21-E21</f>
        <v>-1190.5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87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87">
        <v>0</v>
      </c>
      <c r="D23" s="87">
        <v>0</v>
      </c>
      <c r="E23" s="87">
        <v>0</v>
      </c>
      <c r="F23" s="87"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260">
        <v>1.86</v>
      </c>
      <c r="D24" s="87">
        <v>20076.84</v>
      </c>
      <c r="E24" s="87">
        <v>19409.13</v>
      </c>
      <c r="F24" s="87">
        <f>F39</f>
        <v>20594.0913</v>
      </c>
      <c r="G24" s="77">
        <f t="shared" si="1"/>
        <v>667.7099999999991</v>
      </c>
      <c r="H24" s="88"/>
      <c r="I24" s="88"/>
      <c r="J24" s="88"/>
      <c r="K24" s="88"/>
    </row>
    <row r="25" spans="1:11" ht="14.25">
      <c r="A25" s="41" t="s">
        <v>33</v>
      </c>
      <c r="B25" s="41" t="s">
        <v>161</v>
      </c>
      <c r="C25" s="77">
        <v>12.54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559982.04</v>
      </c>
      <c r="E26" s="77">
        <f>SUM(E27:E30)</f>
        <v>547254.95</v>
      </c>
      <c r="F26" s="77">
        <f>SUM(F27:F30)</f>
        <v>559982.04</v>
      </c>
      <c r="G26" s="77">
        <f t="shared" si="1"/>
        <v>12727.090000000084</v>
      </c>
      <c r="H26" s="98"/>
      <c r="I26" s="98"/>
      <c r="J26" s="98"/>
      <c r="K26" s="98"/>
    </row>
    <row r="27" spans="1:7" ht="15">
      <c r="A27" s="34" t="s">
        <v>37</v>
      </c>
      <c r="B27" s="34" t="s">
        <v>165</v>
      </c>
      <c r="C27" s="285">
        <v>6</v>
      </c>
      <c r="D27" s="84">
        <v>3063.98</v>
      </c>
      <c r="E27" s="84">
        <v>2944.7</v>
      </c>
      <c r="F27" s="84">
        <f>D27</f>
        <v>3063.98</v>
      </c>
      <c r="G27" s="84">
        <f t="shared" si="1"/>
        <v>119.2800000000002</v>
      </c>
    </row>
    <row r="28" spans="1:7" ht="15">
      <c r="A28" s="34" t="s">
        <v>39</v>
      </c>
      <c r="B28" s="34" t="s">
        <v>137</v>
      </c>
      <c r="C28" s="285">
        <v>57.08</v>
      </c>
      <c r="D28" s="84">
        <v>91692.32</v>
      </c>
      <c r="E28" s="84">
        <v>94564.67</v>
      </c>
      <c r="F28" s="84">
        <f>D28</f>
        <v>91692.32</v>
      </c>
      <c r="G28" s="84">
        <f t="shared" si="1"/>
        <v>-2872.3499999999913</v>
      </c>
    </row>
    <row r="29" spans="1:7" ht="15">
      <c r="A29" s="34" t="s">
        <v>42</v>
      </c>
      <c r="B29" s="34" t="s">
        <v>40</v>
      </c>
      <c r="C29" s="143"/>
      <c r="D29" s="84">
        <v>0</v>
      </c>
      <c r="E29" s="84">
        <v>0</v>
      </c>
      <c r="F29" s="84">
        <f>D29</f>
        <v>0</v>
      </c>
      <c r="G29" s="84">
        <f t="shared" si="1"/>
        <v>0</v>
      </c>
    </row>
    <row r="30" spans="1:7" ht="15">
      <c r="A30" s="34" t="s">
        <v>41</v>
      </c>
      <c r="B30" s="34" t="s">
        <v>43</v>
      </c>
      <c r="C30" s="285">
        <v>2638.8</v>
      </c>
      <c r="D30" s="84">
        <v>465225.74</v>
      </c>
      <c r="E30" s="84">
        <v>449745.58</v>
      </c>
      <c r="F30" s="84">
        <f>D30</f>
        <v>465225.74</v>
      </c>
      <c r="G30" s="84">
        <f t="shared" si="1"/>
        <v>15480.159999999974</v>
      </c>
    </row>
    <row r="31" spans="1:9" s="102" customFormat="1" ht="18" customHeight="1" thickBot="1">
      <c r="A31" s="446" t="s">
        <v>294</v>
      </c>
      <c r="B31" s="447"/>
      <c r="C31" s="447"/>
      <c r="D31" s="448"/>
      <c r="E31" s="448"/>
      <c r="F31" s="448"/>
      <c r="G31" s="101"/>
      <c r="H31" s="101"/>
      <c r="I31" s="101"/>
    </row>
    <row r="32" spans="1:9" s="67" customFormat="1" ht="15.75" thickBot="1">
      <c r="A32" s="455" t="s">
        <v>413</v>
      </c>
      <c r="B32" s="456"/>
      <c r="C32" s="456"/>
      <c r="D32" s="65">
        <v>161521.16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415</v>
      </c>
      <c r="B34" s="64"/>
      <c r="C34" s="64"/>
      <c r="D34" s="69"/>
      <c r="E34" s="70"/>
      <c r="F34" s="70"/>
      <c r="G34" s="144">
        <f>G13+E24-F24</f>
        <v>23213.05640000001</v>
      </c>
      <c r="H34" s="62"/>
      <c r="I34" s="62"/>
    </row>
    <row r="35" spans="1:13" s="102" customFormat="1" ht="13.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3" s="102" customFormat="1" ht="27" customHeight="1">
      <c r="A36" s="444" t="s">
        <v>44</v>
      </c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101"/>
      <c r="M36" s="101"/>
    </row>
    <row r="38" spans="1:11" ht="28.5">
      <c r="A38" s="105" t="s">
        <v>11</v>
      </c>
      <c r="B38" s="471" t="s">
        <v>45</v>
      </c>
      <c r="C38" s="484"/>
      <c r="D38" s="105" t="s">
        <v>163</v>
      </c>
      <c r="E38" s="105" t="s">
        <v>162</v>
      </c>
      <c r="F38" s="471" t="s">
        <v>46</v>
      </c>
      <c r="G38" s="484"/>
      <c r="H38" s="244"/>
      <c r="I38" s="245"/>
      <c r="J38" s="74"/>
      <c r="K38" s="74"/>
    </row>
    <row r="39" spans="1:14" s="74" customFormat="1" ht="15">
      <c r="A39" s="109" t="s">
        <v>47</v>
      </c>
      <c r="B39" s="473" t="s">
        <v>111</v>
      </c>
      <c r="C39" s="491"/>
      <c r="D39" s="110"/>
      <c r="E39" s="110"/>
      <c r="F39" s="496">
        <f>SUM(F40:G42)</f>
        <v>20594.0913</v>
      </c>
      <c r="G39" s="483"/>
      <c r="H39" s="246"/>
      <c r="I39" s="247"/>
      <c r="J39" s="114"/>
      <c r="K39" s="114"/>
      <c r="N39" s="108"/>
    </row>
    <row r="40" spans="1:7" s="59" customFormat="1" ht="15">
      <c r="A40" s="34" t="s">
        <v>16</v>
      </c>
      <c r="B40" s="462" t="s">
        <v>401</v>
      </c>
      <c r="C40" s="489"/>
      <c r="D40" s="403"/>
      <c r="E40" s="403"/>
      <c r="F40" s="525">
        <v>12000</v>
      </c>
      <c r="G40" s="526"/>
    </row>
    <row r="41" spans="1:7" s="59" customFormat="1" ht="15">
      <c r="A41" s="34" t="s">
        <v>18</v>
      </c>
      <c r="B41" s="449" t="s">
        <v>814</v>
      </c>
      <c r="C41" s="451"/>
      <c r="D41" s="118" t="s">
        <v>391</v>
      </c>
      <c r="E41" s="118">
        <v>3</v>
      </c>
      <c r="F41" s="521">
        <v>8400</v>
      </c>
      <c r="G41" s="522"/>
    </row>
    <row r="42" spans="1:10" s="59" customFormat="1" ht="15">
      <c r="A42" s="34" t="s">
        <v>20</v>
      </c>
      <c r="B42" s="511" t="s">
        <v>188</v>
      </c>
      <c r="C42" s="512"/>
      <c r="D42" s="123"/>
      <c r="E42" s="123"/>
      <c r="F42" s="495">
        <f>E24*1%</f>
        <v>194.09130000000002</v>
      </c>
      <c r="G42" s="495"/>
      <c r="H42" s="156"/>
      <c r="I42" s="156"/>
      <c r="J42" s="156"/>
    </row>
    <row r="43" s="59" customFormat="1" ht="12.75"/>
    <row r="44" spans="1:11" ht="15">
      <c r="A44" s="67" t="s">
        <v>55</v>
      </c>
      <c r="B44" s="67"/>
      <c r="C44" s="125" t="s">
        <v>49</v>
      </c>
      <c r="D44" s="67"/>
      <c r="E44" s="67"/>
      <c r="F44" s="67" t="s">
        <v>90</v>
      </c>
      <c r="G44" s="67"/>
      <c r="H44" s="59"/>
      <c r="I44" s="59"/>
      <c r="J44" s="59"/>
      <c r="K44" s="59"/>
    </row>
    <row r="45" spans="1:7" ht="15">
      <c r="A45" s="67"/>
      <c r="B45" s="67"/>
      <c r="C45" s="125"/>
      <c r="D45" s="67"/>
      <c r="E45" s="67"/>
      <c r="F45" s="126" t="s">
        <v>545</v>
      </c>
      <c r="G45" s="67"/>
    </row>
    <row r="46" spans="1:7" ht="15">
      <c r="A46" s="67" t="s">
        <v>50</v>
      </c>
      <c r="B46" s="67"/>
      <c r="C46" s="125"/>
      <c r="D46" s="67"/>
      <c r="E46" s="67"/>
      <c r="F46" s="67"/>
      <c r="G46" s="67"/>
    </row>
    <row r="47" spans="1:7" ht="15">
      <c r="A47" s="67"/>
      <c r="B47" s="67"/>
      <c r="C47" s="127" t="s">
        <v>51</v>
      </c>
      <c r="D47" s="67"/>
      <c r="E47" s="128"/>
      <c r="F47" s="128"/>
      <c r="G47" s="128"/>
    </row>
  </sheetData>
  <sheetProtection/>
  <mergeCells count="20">
    <mergeCell ref="A10:K10"/>
    <mergeCell ref="A1:K1"/>
    <mergeCell ref="A2:K2"/>
    <mergeCell ref="A3:K3"/>
    <mergeCell ref="A5:K5"/>
    <mergeCell ref="A9:K9"/>
    <mergeCell ref="A11:K11"/>
    <mergeCell ref="A32:C32"/>
    <mergeCell ref="A36:K36"/>
    <mergeCell ref="B38:C38"/>
    <mergeCell ref="F38:G38"/>
    <mergeCell ref="A31:F31"/>
    <mergeCell ref="B42:C42"/>
    <mergeCell ref="F42:G42"/>
    <mergeCell ref="B39:C39"/>
    <mergeCell ref="F39:G39"/>
    <mergeCell ref="B40:C40"/>
    <mergeCell ref="F40:G40"/>
    <mergeCell ref="B41:C41"/>
    <mergeCell ref="F41:G4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K53"/>
  <sheetViews>
    <sheetView zoomScalePageLayoutView="0" workbookViewId="0" topLeftCell="A37">
      <selection activeCell="G38" sqref="G38"/>
    </sheetView>
  </sheetViews>
  <sheetFormatPr defaultColWidth="9.140625" defaultRowHeight="15" outlineLevelCol="1"/>
  <cols>
    <col min="1" max="1" width="4.7109375" style="35" customWidth="1"/>
    <col min="2" max="2" width="48.00390625" style="35" customWidth="1"/>
    <col min="3" max="3" width="12.8515625" style="35" customWidth="1"/>
    <col min="4" max="4" width="13.140625" style="35" bestFit="1" customWidth="1"/>
    <col min="5" max="5" width="14.28125" style="35" customWidth="1"/>
    <col min="6" max="6" width="15.14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4.2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12.7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2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7" spans="1:5" s="67" customFormat="1" ht="16.5" customHeight="1">
      <c r="A7" s="67" t="s">
        <v>2</v>
      </c>
      <c r="E7" s="126" t="s">
        <v>59</v>
      </c>
    </row>
    <row r="8" spans="1:5" s="67" customFormat="1" ht="15">
      <c r="A8" s="67" t="s">
        <v>3</v>
      </c>
      <c r="E8" s="291" t="s">
        <v>339</v>
      </c>
    </row>
    <row r="9" s="67" customFormat="1" ht="15"/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335</v>
      </c>
      <c r="B14" s="64"/>
      <c r="C14" s="64"/>
      <c r="D14" s="69"/>
      <c r="E14" s="70"/>
      <c r="F14" s="70"/>
      <c r="G14" s="144">
        <f>'[2]Социалистическая 4'!$G$36</f>
        <v>176110.85</v>
      </c>
      <c r="H14" s="62"/>
      <c r="I14" s="62"/>
    </row>
    <row r="15" spans="1:9" s="67" customFormat="1" ht="15.75" thickBot="1">
      <c r="A15" s="63" t="s">
        <v>336</v>
      </c>
      <c r="B15" s="64"/>
      <c r="C15" s="64"/>
      <c r="D15" s="69"/>
      <c r="E15" s="70"/>
      <c r="F15" s="70"/>
      <c r="G15" s="144">
        <f>'[2]Социалистическая 4'!$G$37</f>
        <v>304030.4606</v>
      </c>
      <c r="H15" s="62"/>
      <c r="I15" s="62"/>
    </row>
    <row r="16" s="67" customFormat="1" ht="6.75" customHeight="1"/>
    <row r="17" spans="1:7" s="74" customFormat="1" ht="52.5" customHeight="1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167" customFormat="1" ht="14.25">
      <c r="A18" s="75" t="s">
        <v>14</v>
      </c>
      <c r="B18" s="41" t="s">
        <v>15</v>
      </c>
      <c r="C18" s="135">
        <f>C19+C20+C21+C22</f>
        <v>9.879999999999999</v>
      </c>
      <c r="D18" s="76">
        <v>439862.32</v>
      </c>
      <c r="E18" s="76">
        <v>467274.81</v>
      </c>
      <c r="F18" s="76">
        <f>D18</f>
        <v>439862.32</v>
      </c>
      <c r="G18" s="77">
        <f>D18-E18</f>
        <v>-27412.48999999999</v>
      </c>
      <c r="H18" s="166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154040.8529554656</v>
      </c>
      <c r="E19" s="83">
        <f>E18*I19</f>
        <v>163640.77354251014</v>
      </c>
      <c r="F19" s="83">
        <f>D19</f>
        <v>154040.8529554656</v>
      </c>
      <c r="G19" s="84">
        <f>D19-E19</f>
        <v>-9599.92058704453</v>
      </c>
      <c r="H19" s="145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75239.60736842106</v>
      </c>
      <c r="E20" s="83">
        <f>E18*I20</f>
        <v>79928.58592105264</v>
      </c>
      <c r="F20" s="83">
        <f>D20</f>
        <v>75239.60736842106</v>
      </c>
      <c r="G20" s="84">
        <f>D20-E20</f>
        <v>-4688.978552631583</v>
      </c>
      <c r="H20" s="145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75239.60736842106</v>
      </c>
      <c r="E21" s="83">
        <f>E18*I21</f>
        <v>79928.58592105264</v>
      </c>
      <c r="F21" s="83">
        <f>D21</f>
        <v>75239.60736842106</v>
      </c>
      <c r="G21" s="84">
        <f>D21-E21</f>
        <v>-4688.978552631583</v>
      </c>
      <c r="H21" s="145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135342.2523076923</v>
      </c>
      <c r="E22" s="83">
        <f>E18*I22</f>
        <v>143776.86461538463</v>
      </c>
      <c r="F22" s="83">
        <f>D22</f>
        <v>135342.2523076923</v>
      </c>
      <c r="G22" s="84">
        <f>D22-E22</f>
        <v>-8434.612307692325</v>
      </c>
      <c r="H22" s="145">
        <f>C22</f>
        <v>3.04</v>
      </c>
      <c r="I22" s="67">
        <f>H22/H18</f>
        <v>0.3076923076923077</v>
      </c>
    </row>
    <row r="23" spans="1:7" s="39" customFormat="1" ht="15">
      <c r="A23" s="81" t="s">
        <v>25</v>
      </c>
      <c r="B23" s="86" t="s">
        <v>462</v>
      </c>
      <c r="C23" s="97">
        <v>130</v>
      </c>
      <c r="D23" s="77">
        <v>93600</v>
      </c>
      <c r="E23" s="77">
        <v>88405.09</v>
      </c>
      <c r="F23" s="76">
        <f aca="true" t="shared" si="0" ref="F23:F32">D23</f>
        <v>93600</v>
      </c>
      <c r="G23" s="77">
        <f aca="true" t="shared" si="1" ref="G23:G32">D23-E23</f>
        <v>5194.9100000000035</v>
      </c>
    </row>
    <row r="24" spans="1:7" s="39" customFormat="1" ht="14.25">
      <c r="A24" s="41" t="s">
        <v>27</v>
      </c>
      <c r="B24" s="140" t="s">
        <v>28</v>
      </c>
      <c r="C24" s="97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s="39" customFormat="1" ht="14.25">
      <c r="A25" s="41" t="s">
        <v>29</v>
      </c>
      <c r="B25" s="140" t="s">
        <v>161</v>
      </c>
      <c r="C25" s="141">
        <v>0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7" s="39" customFormat="1" ht="14.25">
      <c r="A26" s="41" t="s">
        <v>31</v>
      </c>
      <c r="B26" s="140" t="s">
        <v>116</v>
      </c>
      <c r="C26" s="97">
        <v>1.86</v>
      </c>
      <c r="D26" s="77">
        <v>78191.28</v>
      </c>
      <c r="E26" s="77">
        <v>82070.42</v>
      </c>
      <c r="F26" s="76">
        <f>F42</f>
        <v>109569.4742</v>
      </c>
      <c r="G26" s="77">
        <f t="shared" si="1"/>
        <v>-3879.1399999999994</v>
      </c>
    </row>
    <row r="27" spans="1:7" s="39" customFormat="1" ht="14.25">
      <c r="A27" s="41" t="s">
        <v>33</v>
      </c>
      <c r="B27" s="134" t="s">
        <v>34</v>
      </c>
      <c r="C27" s="46">
        <v>0</v>
      </c>
      <c r="D27" s="77">
        <v>0</v>
      </c>
      <c r="E27" s="77">
        <v>457.26</v>
      </c>
      <c r="F27" s="76">
        <f>D27</f>
        <v>0</v>
      </c>
      <c r="G27" s="77">
        <f t="shared" si="1"/>
        <v>-457.26</v>
      </c>
    </row>
    <row r="28" spans="1:7" s="39" customFormat="1" ht="14.25">
      <c r="A28" s="41" t="s">
        <v>35</v>
      </c>
      <c r="B28" s="134" t="s">
        <v>36</v>
      </c>
      <c r="C28" s="97"/>
      <c r="D28" s="77">
        <f>SUM(D29:D32)</f>
        <v>2114639.29</v>
      </c>
      <c r="E28" s="77">
        <f>SUM(E29:E32)</f>
        <v>2161318.73</v>
      </c>
      <c r="F28" s="76">
        <f t="shared" si="0"/>
        <v>2114639.29</v>
      </c>
      <c r="G28" s="77">
        <f t="shared" si="1"/>
        <v>-46679.439999999944</v>
      </c>
    </row>
    <row r="29" spans="1:7" ht="15">
      <c r="A29" s="34" t="s">
        <v>37</v>
      </c>
      <c r="B29" s="34" t="s">
        <v>165</v>
      </c>
      <c r="C29" s="285">
        <v>6</v>
      </c>
      <c r="D29" s="84">
        <v>35545.44</v>
      </c>
      <c r="E29" s="84">
        <v>35601.78</v>
      </c>
      <c r="F29" s="83">
        <v>1518.22</v>
      </c>
      <c r="G29" s="84">
        <f t="shared" si="1"/>
        <v>-56.33999999999651</v>
      </c>
    </row>
    <row r="30" spans="1:7" ht="15">
      <c r="A30" s="34" t="s">
        <v>39</v>
      </c>
      <c r="B30" s="34" t="s">
        <v>137</v>
      </c>
      <c r="C30" s="285">
        <v>57.08</v>
      </c>
      <c r="D30" s="84">
        <v>551944.87</v>
      </c>
      <c r="E30" s="84">
        <v>549832.01</v>
      </c>
      <c r="F30" s="83">
        <f t="shared" si="0"/>
        <v>551944.87</v>
      </c>
      <c r="G30" s="84">
        <f t="shared" si="1"/>
        <v>2112.859999999986</v>
      </c>
    </row>
    <row r="31" spans="1:7" ht="14.25" customHeight="1">
      <c r="A31" s="34" t="s">
        <v>42</v>
      </c>
      <c r="B31" s="139" t="s">
        <v>340</v>
      </c>
      <c r="C31" s="286">
        <v>0</v>
      </c>
      <c r="D31" s="84">
        <v>0</v>
      </c>
      <c r="E31" s="84">
        <v>0</v>
      </c>
      <c r="F31" s="83">
        <f t="shared" si="0"/>
        <v>0</v>
      </c>
      <c r="G31" s="84">
        <f t="shared" si="1"/>
        <v>0</v>
      </c>
    </row>
    <row r="32" spans="1:7" ht="15" customHeight="1">
      <c r="A32" s="34" t="s">
        <v>41</v>
      </c>
      <c r="B32" s="34" t="s">
        <v>43</v>
      </c>
      <c r="C32" s="285">
        <v>2638.8</v>
      </c>
      <c r="D32" s="84">
        <v>1527148.98</v>
      </c>
      <c r="E32" s="84">
        <v>1575884.94</v>
      </c>
      <c r="F32" s="83">
        <f t="shared" si="0"/>
        <v>1527148.98</v>
      </c>
      <c r="G32" s="84">
        <f t="shared" si="1"/>
        <v>-48735.95999999996</v>
      </c>
    </row>
    <row r="33" spans="1:10" s="102" customFormat="1" ht="18" customHeight="1" thickBot="1">
      <c r="A33" s="104"/>
      <c r="B33" s="104"/>
      <c r="C33" s="104"/>
      <c r="D33" s="101"/>
      <c r="E33" s="101"/>
      <c r="F33" s="101"/>
      <c r="G33" s="101"/>
      <c r="H33" s="101"/>
      <c r="I33" s="101"/>
      <c r="J33" s="101"/>
    </row>
    <row r="34" spans="1:9" s="67" customFormat="1" ht="15.75" thickBot="1">
      <c r="A34" s="507" t="s">
        <v>413</v>
      </c>
      <c r="B34" s="508"/>
      <c r="C34" s="508"/>
      <c r="D34" s="65">
        <v>1401667.9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414</v>
      </c>
      <c r="B36" s="64"/>
      <c r="C36" s="64"/>
      <c r="D36" s="69"/>
      <c r="E36" s="70"/>
      <c r="F36" s="70"/>
      <c r="G36" s="144">
        <f>G14+E27-F27</f>
        <v>176568.11000000002</v>
      </c>
      <c r="H36" s="62"/>
      <c r="I36" s="62"/>
    </row>
    <row r="37" spans="1:9" s="67" customFormat="1" ht="15.75" thickBot="1">
      <c r="A37" s="63" t="s">
        <v>415</v>
      </c>
      <c r="B37" s="64"/>
      <c r="C37" s="64"/>
      <c r="D37" s="69"/>
      <c r="E37" s="70"/>
      <c r="F37" s="70"/>
      <c r="G37" s="144">
        <f>G15+E26-F26</f>
        <v>276531.4064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ht="24" customHeight="1">
      <c r="A39" s="444" t="s">
        <v>44</v>
      </c>
      <c r="B39" s="444"/>
      <c r="C39" s="444"/>
      <c r="D39" s="444"/>
      <c r="E39" s="444"/>
      <c r="F39" s="444"/>
      <c r="G39" s="444"/>
      <c r="H39" s="444"/>
      <c r="I39" s="444"/>
    </row>
    <row r="40" ht="8.25" customHeight="1"/>
    <row r="41" spans="1:7" s="171" customFormat="1" ht="28.5" customHeight="1">
      <c r="A41" s="105" t="s">
        <v>11</v>
      </c>
      <c r="B41" s="176" t="s">
        <v>45</v>
      </c>
      <c r="C41" s="177"/>
      <c r="D41" s="105" t="s">
        <v>163</v>
      </c>
      <c r="E41" s="105" t="s">
        <v>162</v>
      </c>
      <c r="F41" s="471" t="s">
        <v>46</v>
      </c>
      <c r="G41" s="483"/>
    </row>
    <row r="42" spans="1:7" s="114" customFormat="1" ht="14.25" customHeight="1">
      <c r="A42" s="109" t="s">
        <v>47</v>
      </c>
      <c r="B42" s="473" t="s">
        <v>111</v>
      </c>
      <c r="C42" s="491"/>
      <c r="D42" s="172"/>
      <c r="E42" s="172"/>
      <c r="F42" s="496">
        <f>SUM(F43:L48)</f>
        <v>109569.4742</v>
      </c>
      <c r="G42" s="483"/>
    </row>
    <row r="43" spans="1:7" ht="14.25" customHeight="1">
      <c r="A43" s="34" t="s">
        <v>16</v>
      </c>
      <c r="B43" s="462" t="s">
        <v>553</v>
      </c>
      <c r="C43" s="498"/>
      <c r="D43" s="381" t="s">
        <v>164</v>
      </c>
      <c r="E43" s="342">
        <v>1</v>
      </c>
      <c r="F43" s="482">
        <v>837.9</v>
      </c>
      <c r="G43" s="482"/>
    </row>
    <row r="44" spans="1:7" ht="14.25" customHeight="1">
      <c r="A44" s="34" t="s">
        <v>18</v>
      </c>
      <c r="B44" s="378" t="s">
        <v>554</v>
      </c>
      <c r="C44" s="379"/>
      <c r="D44" s="381" t="s">
        <v>164</v>
      </c>
      <c r="E44" s="342">
        <v>2</v>
      </c>
      <c r="F44" s="509">
        <v>29814.61</v>
      </c>
      <c r="G44" s="510"/>
    </row>
    <row r="45" spans="1:7" ht="14.25" customHeight="1">
      <c r="A45" s="34" t="s">
        <v>20</v>
      </c>
      <c r="B45" s="378" t="s">
        <v>555</v>
      </c>
      <c r="C45" s="379"/>
      <c r="D45" s="381" t="s">
        <v>217</v>
      </c>
      <c r="E45" s="342">
        <v>0.01</v>
      </c>
      <c r="F45" s="497">
        <v>7266.96</v>
      </c>
      <c r="G45" s="497"/>
    </row>
    <row r="46" spans="1:7" ht="14.25" customHeight="1">
      <c r="A46" s="34" t="s">
        <v>22</v>
      </c>
      <c r="B46" s="462" t="s">
        <v>554</v>
      </c>
      <c r="C46" s="489"/>
      <c r="D46" s="381" t="s">
        <v>164</v>
      </c>
      <c r="E46" s="342">
        <v>4</v>
      </c>
      <c r="F46" s="509">
        <v>59629.3</v>
      </c>
      <c r="G46" s="510"/>
    </row>
    <row r="47" spans="1:7" ht="14.25" customHeight="1">
      <c r="A47" s="34" t="s">
        <v>24</v>
      </c>
      <c r="B47" s="116" t="s">
        <v>814</v>
      </c>
      <c r="C47" s="437"/>
      <c r="D47" s="151" t="s">
        <v>391</v>
      </c>
      <c r="E47" s="152">
        <v>4</v>
      </c>
      <c r="F47" s="648">
        <v>11200</v>
      </c>
      <c r="G47" s="649"/>
    </row>
    <row r="48" spans="1:7" ht="14.25" customHeight="1">
      <c r="A48" s="34" t="s">
        <v>103</v>
      </c>
      <c r="B48" s="380" t="s">
        <v>188</v>
      </c>
      <c r="C48" s="395"/>
      <c r="D48" s="346"/>
      <c r="E48" s="346"/>
      <c r="F48" s="497">
        <f>E26*1%</f>
        <v>820.7042</v>
      </c>
      <c r="G48" s="497"/>
    </row>
    <row r="49" spans="2:5" ht="8.25" customHeight="1">
      <c r="B49" s="154"/>
      <c r="C49" s="154"/>
      <c r="D49" s="154"/>
      <c r="E49" s="154"/>
    </row>
    <row r="50" spans="1:6" s="67" customFormat="1" ht="15">
      <c r="A50" s="67" t="s">
        <v>55</v>
      </c>
      <c r="C50" s="67" t="s">
        <v>49</v>
      </c>
      <c r="F50" s="67" t="s">
        <v>90</v>
      </c>
    </row>
    <row r="51" s="67" customFormat="1" ht="13.5" customHeight="1">
      <c r="F51" s="126" t="s">
        <v>545</v>
      </c>
    </row>
    <row r="52" s="67" customFormat="1" ht="15">
      <c r="A52" s="67" t="s">
        <v>50</v>
      </c>
    </row>
    <row r="53" spans="3:7" s="67" customFormat="1" ht="15">
      <c r="C53" s="128" t="s">
        <v>51</v>
      </c>
      <c r="E53" s="128"/>
      <c r="F53" s="128"/>
      <c r="G53" s="128"/>
    </row>
    <row r="54" s="67" customFormat="1" ht="15"/>
    <row r="55" s="67" customFormat="1" ht="15"/>
  </sheetData>
  <sheetProtection/>
  <mergeCells count="20">
    <mergeCell ref="F47:G47"/>
    <mergeCell ref="F48:G48"/>
    <mergeCell ref="F43:G43"/>
    <mergeCell ref="B43:C43"/>
    <mergeCell ref="F41:G41"/>
    <mergeCell ref="F42:G42"/>
    <mergeCell ref="B42:C42"/>
    <mergeCell ref="B46:C46"/>
    <mergeCell ref="F46:G46"/>
    <mergeCell ref="F44:G44"/>
    <mergeCell ref="F45:G45"/>
    <mergeCell ref="A39:I39"/>
    <mergeCell ref="A12:I12"/>
    <mergeCell ref="A34:C34"/>
    <mergeCell ref="A1:I1"/>
    <mergeCell ref="A2:I2"/>
    <mergeCell ref="A5:I5"/>
    <mergeCell ref="A10:I10"/>
    <mergeCell ref="A3:K3"/>
    <mergeCell ref="A11:I11"/>
  </mergeCells>
  <printOptions/>
  <pageMargins left="0.5905511811023623" right="0" top="0.5905511811023623" bottom="0.5905511811023623" header="0.31496062992125984" footer="0.31496062992125984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7030A0"/>
  </sheetPr>
  <dimension ref="A1:N52"/>
  <sheetViews>
    <sheetView zoomScalePageLayoutView="0" workbookViewId="0" topLeftCell="A37">
      <selection activeCell="F44" sqref="F44:G4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8" s="59" customFormat="1" ht="16.5" customHeight="1">
      <c r="A7" s="59" t="s">
        <v>2</v>
      </c>
      <c r="F7" s="60" t="s">
        <v>204</v>
      </c>
      <c r="H7" s="60"/>
    </row>
    <row r="8" spans="1:8" s="59" customFormat="1" ht="12.75">
      <c r="A8" s="59" t="s">
        <v>3</v>
      </c>
      <c r="F8" s="301" t="s">
        <v>311</v>
      </c>
      <c r="H8" s="60"/>
    </row>
    <row r="9" spans="1:11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431</v>
      </c>
      <c r="B13" s="64"/>
      <c r="C13" s="64"/>
      <c r="D13" s="69"/>
      <c r="E13" s="70"/>
      <c r="F13" s="70"/>
      <c r="G13" s="65">
        <f>'[2]Хрустальная 52'!$G$34</f>
        <v>-122692.05919999999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4" s="59" customFormat="1" ht="14.25">
      <c r="A16" s="75" t="s">
        <v>14</v>
      </c>
      <c r="B16" s="41" t="s">
        <v>15</v>
      </c>
      <c r="C16" s="97">
        <f>C17+C18+C19+C20</f>
        <v>10.34</v>
      </c>
      <c r="D16" s="76">
        <v>575379.6</v>
      </c>
      <c r="E16" s="76">
        <v>563280.87</v>
      </c>
      <c r="F16" s="76">
        <f aca="true" t="shared" si="0" ref="F16:F23">D16</f>
        <v>575379.6</v>
      </c>
      <c r="G16" s="77">
        <f>D16-E16</f>
        <v>12098.729999999981</v>
      </c>
      <c r="H16" s="78">
        <f>C16</f>
        <v>10.34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192535.14661508705</v>
      </c>
      <c r="E17" s="83">
        <f>E16*I17</f>
        <v>188486.63541586074</v>
      </c>
      <c r="F17" s="83">
        <f t="shared" si="0"/>
        <v>192535.14661508705</v>
      </c>
      <c r="G17" s="84">
        <f>D17-E17</f>
        <v>4048.511199226312</v>
      </c>
      <c r="H17" s="78">
        <f>C17</f>
        <v>3.46</v>
      </c>
      <c r="I17" s="59">
        <f>H17/H16</f>
        <v>0.33462282398452614</v>
      </c>
    </row>
    <row r="18" spans="1:9" s="59" customFormat="1" ht="15">
      <c r="A18" s="81" t="s">
        <v>18</v>
      </c>
      <c r="B18" s="34" t="s">
        <v>19</v>
      </c>
      <c r="C18" s="85">
        <v>1.69</v>
      </c>
      <c r="D18" s="83">
        <f>D16*I18</f>
        <v>94041.73346228238</v>
      </c>
      <c r="E18" s="83">
        <f>E16*I18</f>
        <v>92064.28146034815</v>
      </c>
      <c r="F18" s="83">
        <f t="shared" si="0"/>
        <v>94041.73346228238</v>
      </c>
      <c r="G18" s="84">
        <f>D18-E18</f>
        <v>1977.4520019342308</v>
      </c>
      <c r="H18" s="78">
        <f>C18</f>
        <v>1.69</v>
      </c>
      <c r="I18" s="59">
        <f>H18/H16</f>
        <v>0.1634429400386847</v>
      </c>
    </row>
    <row r="19" spans="1:9" s="59" customFormat="1" ht="15">
      <c r="A19" s="81" t="s">
        <v>20</v>
      </c>
      <c r="B19" s="34" t="s">
        <v>21</v>
      </c>
      <c r="C19" s="85">
        <v>2.15</v>
      </c>
      <c r="D19" s="83">
        <f>D16*I19</f>
        <v>119638.8916827853</v>
      </c>
      <c r="E19" s="83">
        <f>E16*I19</f>
        <v>117123.19830754353</v>
      </c>
      <c r="F19" s="83">
        <f t="shared" si="0"/>
        <v>119638.8916827853</v>
      </c>
      <c r="G19" s="84">
        <f>D19-E19</f>
        <v>2515.693375241768</v>
      </c>
      <c r="H19" s="78">
        <f>C19</f>
        <v>2.15</v>
      </c>
      <c r="I19" s="59">
        <f>H19/H16</f>
        <v>0.2079303675048356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169163.82823984526</v>
      </c>
      <c r="E20" s="83">
        <f>E16*I20</f>
        <v>165606.7548162476</v>
      </c>
      <c r="F20" s="83">
        <f t="shared" si="0"/>
        <v>169163.82823984526</v>
      </c>
      <c r="G20" s="84">
        <f>D20-E20</f>
        <v>3557.0734235976706</v>
      </c>
      <c r="H20" s="78">
        <f>C20</f>
        <v>3.04</v>
      </c>
      <c r="I20" s="59">
        <f>H20/H16</f>
        <v>0.2940038684719536</v>
      </c>
    </row>
    <row r="21" spans="1:11" s="89" customFormat="1" ht="14.25">
      <c r="A21" s="86" t="s">
        <v>25</v>
      </c>
      <c r="B21" s="86" t="s">
        <v>26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270</v>
      </c>
      <c r="C22" s="46" t="s">
        <v>802</v>
      </c>
      <c r="D22" s="87">
        <v>180000</v>
      </c>
      <c r="E22" s="87">
        <v>176216.3</v>
      </c>
      <c r="F22" s="87">
        <f t="shared" si="0"/>
        <v>180000</v>
      </c>
      <c r="G22" s="77">
        <f t="shared" si="1"/>
        <v>3783.7000000000116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2.06</v>
      </c>
      <c r="D24" s="87">
        <v>112112.76</v>
      </c>
      <c r="E24" s="87">
        <v>109766.99</v>
      </c>
      <c r="F24" s="87">
        <f>F38</f>
        <v>133388.5499</v>
      </c>
      <c r="G24" s="77">
        <f t="shared" si="1"/>
        <v>2345.7699999999895</v>
      </c>
      <c r="H24" s="88"/>
      <c r="I24" s="88"/>
      <c r="J24" s="88"/>
      <c r="K24" s="88"/>
    </row>
    <row r="25" spans="1:11" ht="14.25">
      <c r="A25" s="41" t="s">
        <v>33</v>
      </c>
      <c r="B25" s="41" t="s">
        <v>161</v>
      </c>
      <c r="C25" s="97">
        <v>1902.11</v>
      </c>
      <c r="D25" s="90">
        <v>0</v>
      </c>
      <c r="E25" s="90">
        <v>0</v>
      </c>
      <c r="F25" s="90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2768294.91</v>
      </c>
      <c r="E26" s="77">
        <f>SUM(E27:E30)</f>
        <v>2684610.04</v>
      </c>
      <c r="F26" s="77">
        <f>SUM(F27:F30)</f>
        <v>2768294.91</v>
      </c>
      <c r="G26" s="77">
        <f t="shared" si="1"/>
        <v>83684.87000000011</v>
      </c>
      <c r="H26" s="98"/>
      <c r="I26" s="98"/>
      <c r="J26" s="98"/>
      <c r="K26" s="98"/>
    </row>
    <row r="27" spans="1:7" ht="15">
      <c r="A27" s="34" t="s">
        <v>37</v>
      </c>
      <c r="B27" s="34" t="s">
        <v>165</v>
      </c>
      <c r="C27" s="285">
        <v>6</v>
      </c>
      <c r="D27" s="84">
        <v>45386.16</v>
      </c>
      <c r="E27" s="84">
        <v>44375.49</v>
      </c>
      <c r="F27" s="84">
        <f>D27</f>
        <v>45386.16</v>
      </c>
      <c r="G27" s="84">
        <f t="shared" si="1"/>
        <v>1010.6700000000055</v>
      </c>
    </row>
    <row r="28" spans="1:7" ht="15">
      <c r="A28" s="34" t="s">
        <v>39</v>
      </c>
      <c r="B28" s="34" t="s">
        <v>137</v>
      </c>
      <c r="C28" s="285">
        <v>57.08</v>
      </c>
      <c r="D28" s="84">
        <v>454507.3</v>
      </c>
      <c r="E28" s="84">
        <v>442611.94</v>
      </c>
      <c r="F28" s="84">
        <f>D28</f>
        <v>454507.3</v>
      </c>
      <c r="G28" s="84">
        <f t="shared" si="1"/>
        <v>11895.359999999986</v>
      </c>
    </row>
    <row r="29" spans="1:7" ht="15">
      <c r="A29" s="34" t="s">
        <v>42</v>
      </c>
      <c r="B29" s="34" t="s">
        <v>340</v>
      </c>
      <c r="C29" s="286">
        <v>211.65</v>
      </c>
      <c r="D29" s="210">
        <v>643497.06</v>
      </c>
      <c r="E29" s="210">
        <v>616673.07</v>
      </c>
      <c r="F29" s="84">
        <f>D29</f>
        <v>643497.06</v>
      </c>
      <c r="G29" s="84">
        <f t="shared" si="1"/>
        <v>26823.990000000107</v>
      </c>
    </row>
    <row r="30" spans="1:7" ht="15">
      <c r="A30" s="34" t="s">
        <v>41</v>
      </c>
      <c r="B30" s="34" t="s">
        <v>43</v>
      </c>
      <c r="C30" s="285">
        <v>2638.8</v>
      </c>
      <c r="D30" s="84">
        <v>1624904.39</v>
      </c>
      <c r="E30" s="84">
        <v>1580949.54</v>
      </c>
      <c r="F30" s="84">
        <f>D30</f>
        <v>1624904.39</v>
      </c>
      <c r="G30" s="84">
        <f t="shared" si="1"/>
        <v>43954.84999999986</v>
      </c>
    </row>
    <row r="31" spans="1:9" s="102" customFormat="1" ht="23.25" customHeight="1" thickBot="1">
      <c r="A31" s="446" t="s">
        <v>294</v>
      </c>
      <c r="B31" s="447"/>
      <c r="C31" s="447"/>
      <c r="D31" s="448"/>
      <c r="E31" s="448"/>
      <c r="F31" s="448"/>
      <c r="G31" s="101"/>
      <c r="H31" s="101"/>
      <c r="I31" s="101"/>
    </row>
    <row r="32" spans="1:9" s="67" customFormat="1" ht="15.75" thickBot="1">
      <c r="A32" s="455" t="s">
        <v>413</v>
      </c>
      <c r="B32" s="456"/>
      <c r="C32" s="456"/>
      <c r="D32" s="65">
        <v>888137.57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1" s="67" customFormat="1" ht="15.75" thickBot="1">
      <c r="A34" s="63" t="s">
        <v>415</v>
      </c>
      <c r="B34" s="64"/>
      <c r="C34" s="64"/>
      <c r="D34" s="69"/>
      <c r="E34" s="70"/>
      <c r="F34" s="70"/>
      <c r="G34" s="144">
        <f>G13+E24-F24</f>
        <v>-146313.6191</v>
      </c>
      <c r="H34" s="62"/>
      <c r="I34" s="62"/>
      <c r="K34" s="145"/>
    </row>
    <row r="35" spans="1:11" ht="31.5" customHeight="1">
      <c r="A35" s="444" t="s">
        <v>179</v>
      </c>
      <c r="B35" s="444"/>
      <c r="C35" s="444"/>
      <c r="D35" s="444"/>
      <c r="E35" s="444"/>
      <c r="F35" s="444"/>
      <c r="G35" s="444"/>
      <c r="H35" s="444"/>
      <c r="I35" s="444"/>
      <c r="J35" s="444"/>
      <c r="K35" s="444"/>
    </row>
    <row r="37" spans="1:12" s="74" customFormat="1" ht="37.5" customHeight="1">
      <c r="A37" s="105" t="s">
        <v>11</v>
      </c>
      <c r="B37" s="471" t="s">
        <v>45</v>
      </c>
      <c r="C37" s="484"/>
      <c r="D37" s="105" t="s">
        <v>163</v>
      </c>
      <c r="E37" s="105" t="s">
        <v>162</v>
      </c>
      <c r="F37" s="471" t="s">
        <v>46</v>
      </c>
      <c r="G37" s="484"/>
      <c r="H37" s="244"/>
      <c r="I37" s="245"/>
      <c r="L37" s="108"/>
    </row>
    <row r="38" spans="1:12" s="114" customFormat="1" ht="15" customHeight="1">
      <c r="A38" s="109" t="s">
        <v>47</v>
      </c>
      <c r="B38" s="473" t="s">
        <v>111</v>
      </c>
      <c r="C38" s="491"/>
      <c r="D38" s="110"/>
      <c r="E38" s="110"/>
      <c r="F38" s="496">
        <f>SUM(F39:G46)</f>
        <v>133388.5499</v>
      </c>
      <c r="G38" s="483"/>
      <c r="H38" s="246"/>
      <c r="I38" s="247"/>
      <c r="L38" s="115"/>
    </row>
    <row r="39" spans="1:12" ht="15">
      <c r="A39" s="34" t="s">
        <v>16</v>
      </c>
      <c r="B39" s="462" t="s">
        <v>684</v>
      </c>
      <c r="C39" s="489"/>
      <c r="D39" s="403" t="s">
        <v>216</v>
      </c>
      <c r="E39" s="403">
        <v>0.06</v>
      </c>
      <c r="F39" s="525">
        <v>10316.72</v>
      </c>
      <c r="G39" s="526"/>
      <c r="H39" s="248"/>
      <c r="I39" s="249"/>
      <c r="L39" s="119"/>
    </row>
    <row r="40" spans="1:12" ht="15">
      <c r="A40" s="34" t="s">
        <v>18</v>
      </c>
      <c r="B40" s="462" t="s">
        <v>626</v>
      </c>
      <c r="C40" s="498"/>
      <c r="D40" s="403" t="s">
        <v>164</v>
      </c>
      <c r="E40" s="403">
        <v>1</v>
      </c>
      <c r="F40" s="525">
        <v>37020</v>
      </c>
      <c r="G40" s="526"/>
      <c r="H40" s="40"/>
      <c r="I40" s="40"/>
      <c r="L40" s="119"/>
    </row>
    <row r="41" spans="1:12" ht="15">
      <c r="A41" s="34" t="s">
        <v>20</v>
      </c>
      <c r="B41" s="462" t="s">
        <v>685</v>
      </c>
      <c r="C41" s="498"/>
      <c r="D41" s="403" t="s">
        <v>164</v>
      </c>
      <c r="E41" s="403">
        <v>1</v>
      </c>
      <c r="F41" s="525">
        <v>35139.16</v>
      </c>
      <c r="G41" s="526"/>
      <c r="H41" s="40"/>
      <c r="I41" s="40"/>
      <c r="L41" s="119"/>
    </row>
    <row r="42" spans="1:12" ht="15">
      <c r="A42" s="34" t="s">
        <v>22</v>
      </c>
      <c r="B42" s="462" t="s">
        <v>686</v>
      </c>
      <c r="C42" s="498"/>
      <c r="D42" s="403"/>
      <c r="E42" s="403"/>
      <c r="F42" s="525">
        <v>13000</v>
      </c>
      <c r="G42" s="526"/>
      <c r="H42" s="40"/>
      <c r="I42" s="40"/>
      <c r="L42" s="119"/>
    </row>
    <row r="43" spans="1:12" ht="15">
      <c r="A43" s="34" t="s">
        <v>24</v>
      </c>
      <c r="B43" s="462" t="s">
        <v>609</v>
      </c>
      <c r="C43" s="498"/>
      <c r="D43" s="403"/>
      <c r="E43" s="403"/>
      <c r="F43" s="624">
        <v>18200</v>
      </c>
      <c r="G43" s="625"/>
      <c r="H43" s="40"/>
      <c r="I43" s="40"/>
      <c r="L43" s="119"/>
    </row>
    <row r="44" spans="1:12" ht="15">
      <c r="A44" s="34" t="s">
        <v>103</v>
      </c>
      <c r="B44" s="462" t="s">
        <v>687</v>
      </c>
      <c r="C44" s="498"/>
      <c r="D44" s="403"/>
      <c r="E44" s="406"/>
      <c r="F44" s="515">
        <v>1815</v>
      </c>
      <c r="G44" s="515"/>
      <c r="H44" s="40"/>
      <c r="I44" s="40"/>
      <c r="L44" s="119"/>
    </row>
    <row r="45" spans="1:12" ht="15">
      <c r="A45" s="34" t="s">
        <v>104</v>
      </c>
      <c r="B45" s="449" t="s">
        <v>814</v>
      </c>
      <c r="C45" s="641"/>
      <c r="D45" s="118" t="s">
        <v>391</v>
      </c>
      <c r="E45" s="152">
        <v>6</v>
      </c>
      <c r="F45" s="495">
        <v>16800</v>
      </c>
      <c r="G45" s="495"/>
      <c r="H45" s="40"/>
      <c r="I45" s="40"/>
      <c r="L45" s="119"/>
    </row>
    <row r="46" spans="1:11" s="67" customFormat="1" ht="15">
      <c r="A46" s="34" t="s">
        <v>117</v>
      </c>
      <c r="B46" s="511" t="s">
        <v>188</v>
      </c>
      <c r="C46" s="512"/>
      <c r="D46" s="123"/>
      <c r="E46" s="123"/>
      <c r="F46" s="495">
        <f>E24*1%</f>
        <v>1097.6699</v>
      </c>
      <c r="G46" s="495"/>
      <c r="H46" s="59"/>
      <c r="I46" s="59"/>
      <c r="J46" s="59"/>
      <c r="K46" s="59"/>
    </row>
    <row r="47" spans="1:7" s="59" customFormat="1" ht="9" customHeight="1">
      <c r="A47" s="168"/>
      <c r="B47" s="179"/>
      <c r="C47" s="179"/>
      <c r="D47" s="213"/>
      <c r="E47" s="213"/>
      <c r="F47" s="180"/>
      <c r="G47" s="180"/>
    </row>
    <row r="48" spans="1:11" s="59" customFormat="1" ht="15">
      <c r="A48" s="67" t="s">
        <v>55</v>
      </c>
      <c r="B48" s="67"/>
      <c r="C48" s="125" t="s">
        <v>49</v>
      </c>
      <c r="D48" s="67"/>
      <c r="E48" s="67"/>
      <c r="F48" s="67" t="s">
        <v>90</v>
      </c>
      <c r="G48" s="67"/>
      <c r="H48" s="67"/>
      <c r="I48" s="67"/>
      <c r="J48" s="67"/>
      <c r="K48" s="67"/>
    </row>
    <row r="49" spans="1:7" s="59" customFormat="1" ht="15">
      <c r="A49" s="67"/>
      <c r="B49" s="67"/>
      <c r="C49" s="125"/>
      <c r="D49" s="67"/>
      <c r="E49" s="67"/>
      <c r="F49" s="126" t="s">
        <v>545</v>
      </c>
      <c r="G49" s="67"/>
    </row>
    <row r="50" spans="1:10" s="59" customFormat="1" ht="15">
      <c r="A50" s="67" t="s">
        <v>50</v>
      </c>
      <c r="B50" s="67"/>
      <c r="C50" s="125"/>
      <c r="D50" s="67"/>
      <c r="E50" s="67"/>
      <c r="F50" s="67"/>
      <c r="G50" s="67"/>
      <c r="H50" s="156"/>
      <c r="I50" s="156"/>
      <c r="J50" s="156"/>
    </row>
    <row r="51" spans="1:11" ht="15">
      <c r="A51" s="67"/>
      <c r="B51" s="67"/>
      <c r="C51" s="127" t="s">
        <v>51</v>
      </c>
      <c r="D51" s="67"/>
      <c r="E51" s="128"/>
      <c r="F51" s="128"/>
      <c r="G51" s="128"/>
      <c r="H51" s="59"/>
      <c r="I51" s="59"/>
      <c r="J51" s="59"/>
      <c r="K51" s="59"/>
    </row>
    <row r="52" spans="1:11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</row>
  </sheetData>
  <sheetProtection/>
  <mergeCells count="30">
    <mergeCell ref="B45:C45"/>
    <mergeCell ref="F45:G45"/>
    <mergeCell ref="B46:C46"/>
    <mergeCell ref="F46:G46"/>
    <mergeCell ref="B38:C38"/>
    <mergeCell ref="F38:G38"/>
    <mergeCell ref="B39:C39"/>
    <mergeCell ref="F39:G39"/>
    <mergeCell ref="B44:C44"/>
    <mergeCell ref="F44:G44"/>
    <mergeCell ref="B40:C40"/>
    <mergeCell ref="B43:C43"/>
    <mergeCell ref="A11:K11"/>
    <mergeCell ref="A32:C32"/>
    <mergeCell ref="A35:K35"/>
    <mergeCell ref="B37:C37"/>
    <mergeCell ref="F37:G37"/>
    <mergeCell ref="A31:F31"/>
    <mergeCell ref="F40:G40"/>
    <mergeCell ref="F43:G43"/>
    <mergeCell ref="B41:C41"/>
    <mergeCell ref="F41:G41"/>
    <mergeCell ref="B42:C42"/>
    <mergeCell ref="F42:G42"/>
    <mergeCell ref="A1:K1"/>
    <mergeCell ref="A2:K2"/>
    <mergeCell ref="A3:K3"/>
    <mergeCell ref="A5:K5"/>
    <mergeCell ref="A9:K9"/>
    <mergeCell ref="A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FF00"/>
  </sheetPr>
  <dimension ref="A1:O57"/>
  <sheetViews>
    <sheetView zoomScalePageLayoutView="0" workbookViewId="0" topLeftCell="A41">
      <selection activeCell="A52" sqref="A52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10" width="11.57421875" style="57" hidden="1" customWidth="1" outlineLevel="1"/>
    <col min="11" max="11" width="10.140625" style="57" hidden="1" customWidth="1" outlineLevel="1"/>
    <col min="12" max="12" width="10.421875" style="57" customWidth="1" collapsed="1"/>
    <col min="13" max="13" width="9.140625" style="57" customWidth="1"/>
    <col min="14" max="14" width="10.00390625" style="57" bestFit="1" customWidth="1"/>
    <col min="15" max="15" width="15.8515625" style="57" customWidth="1"/>
    <col min="16" max="16384" width="9.140625" style="57" customWidth="1"/>
  </cols>
  <sheetData>
    <row r="1" spans="1:12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spans="1:12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</row>
    <row r="3" spans="1:12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</row>
    <row r="4" spans="1:12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</row>
    <row r="7" spans="1:9" s="59" customFormat="1" ht="16.5" customHeight="1">
      <c r="A7" s="59" t="s">
        <v>2</v>
      </c>
      <c r="F7" s="60" t="s">
        <v>201</v>
      </c>
      <c r="H7" s="60"/>
      <c r="I7" s="60"/>
    </row>
    <row r="8" spans="1:11" s="59" customFormat="1" ht="12.75">
      <c r="A8" s="59" t="s">
        <v>3</v>
      </c>
      <c r="F8" s="301" t="s">
        <v>468</v>
      </c>
      <c r="H8" s="60">
        <f>3157.8+20.3</f>
        <v>3178.1000000000004</v>
      </c>
      <c r="I8" s="242"/>
      <c r="J8" s="302">
        <f>49.8+36+98.1</f>
        <v>183.89999999999998</v>
      </c>
      <c r="K8" s="251">
        <f>H8+J8</f>
        <v>3362.0000000000005</v>
      </c>
    </row>
    <row r="9" spans="2:11" s="59" customFormat="1" ht="12.75">
      <c r="B9" s="59" t="s">
        <v>507</v>
      </c>
      <c r="F9" s="301" t="s">
        <v>530</v>
      </c>
      <c r="H9" s="60"/>
      <c r="I9" s="242"/>
      <c r="J9" s="251"/>
      <c r="K9" s="251"/>
    </row>
    <row r="10" spans="1:12" s="59" customFormat="1" ht="12.7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  <c r="L10" s="445"/>
    </row>
    <row r="11" spans="1:12" s="59" customFormat="1" ht="12.7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</row>
    <row r="12" spans="1:12" s="59" customFormat="1" ht="12.7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</row>
    <row r="13" spans="1:10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  <c r="J13" s="62"/>
    </row>
    <row r="14" spans="1:10" s="67" customFormat="1" ht="15.75" thickBot="1">
      <c r="A14" s="63" t="s">
        <v>431</v>
      </c>
      <c r="B14" s="64"/>
      <c r="C14" s="64"/>
      <c r="D14" s="69"/>
      <c r="E14" s="70"/>
      <c r="F14" s="70"/>
      <c r="G14" s="65">
        <f>'[2]Хрустальная 56'!$G$34</f>
        <v>-62605.11230000001</v>
      </c>
      <c r="H14" s="62"/>
      <c r="I14" s="62"/>
      <c r="J14" s="62"/>
    </row>
    <row r="15" s="59" customFormat="1" ht="6.75" customHeight="1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</row>
    <row r="17" spans="1:15" s="59" customFormat="1" ht="14.25">
      <c r="A17" s="75" t="s">
        <v>14</v>
      </c>
      <c r="B17" s="41" t="s">
        <v>15</v>
      </c>
      <c r="C17" s="97">
        <f>C18+C19+C20+C21</f>
        <v>10.34</v>
      </c>
      <c r="D17" s="76">
        <v>433848.23</v>
      </c>
      <c r="E17" s="76">
        <v>439660.31</v>
      </c>
      <c r="F17" s="76">
        <f aca="true" t="shared" si="0" ref="F17:F24">D17</f>
        <v>433848.23</v>
      </c>
      <c r="G17" s="77">
        <f>D17-E17</f>
        <v>-5812.080000000016</v>
      </c>
      <c r="H17" s="78">
        <f>C17</f>
        <v>10.34</v>
      </c>
      <c r="I17" s="78"/>
      <c r="J17" s="79"/>
      <c r="K17" s="79"/>
      <c r="L17" s="79"/>
      <c r="N17" s="78"/>
      <c r="O17" s="80"/>
    </row>
    <row r="18" spans="1:10" s="59" customFormat="1" ht="15">
      <c r="A18" s="81" t="s">
        <v>16</v>
      </c>
      <c r="B18" s="34" t="s">
        <v>17</v>
      </c>
      <c r="C18" s="82">
        <v>3.46</v>
      </c>
      <c r="D18" s="83">
        <f>D17*J18</f>
        <v>145175.5199032882</v>
      </c>
      <c r="E18" s="83">
        <f>E17*J18</f>
        <v>147120.3745261122</v>
      </c>
      <c r="F18" s="83">
        <f t="shared" si="0"/>
        <v>145175.5199032882</v>
      </c>
      <c r="G18" s="84">
        <f>D18-E18</f>
        <v>-1944.8546228240011</v>
      </c>
      <c r="H18" s="78">
        <f>C18</f>
        <v>3.46</v>
      </c>
      <c r="I18" s="78"/>
      <c r="J18" s="59">
        <f>H18/H17</f>
        <v>0.33462282398452614</v>
      </c>
    </row>
    <row r="19" spans="1:10" s="59" customFormat="1" ht="15">
      <c r="A19" s="81" t="s">
        <v>18</v>
      </c>
      <c r="B19" s="34" t="s">
        <v>19</v>
      </c>
      <c r="C19" s="85">
        <v>1.69</v>
      </c>
      <c r="D19" s="83">
        <f>D17*J19</f>
        <v>70909.43024177948</v>
      </c>
      <c r="E19" s="83">
        <f>E17*J19</f>
        <v>71859.37368471953</v>
      </c>
      <c r="F19" s="83">
        <f t="shared" si="0"/>
        <v>70909.43024177948</v>
      </c>
      <c r="G19" s="84">
        <f>D19-E19</f>
        <v>-949.9434429400426</v>
      </c>
      <c r="H19" s="78">
        <f>C19</f>
        <v>1.69</v>
      </c>
      <c r="I19" s="78"/>
      <c r="J19" s="59">
        <f>H19/H17</f>
        <v>0.1634429400386847</v>
      </c>
    </row>
    <row r="20" spans="1:10" s="59" customFormat="1" ht="15">
      <c r="A20" s="81" t="s">
        <v>20</v>
      </c>
      <c r="B20" s="34" t="s">
        <v>21</v>
      </c>
      <c r="C20" s="85">
        <v>2.15</v>
      </c>
      <c r="D20" s="83">
        <f>D17*J20</f>
        <v>90210.22190522244</v>
      </c>
      <c r="E20" s="83">
        <f>E17*J20</f>
        <v>91418.72983558994</v>
      </c>
      <c r="F20" s="83">
        <f t="shared" si="0"/>
        <v>90210.22190522244</v>
      </c>
      <c r="G20" s="84">
        <f>D20-E20</f>
        <v>-1208.507930367501</v>
      </c>
      <c r="H20" s="78">
        <f>C20</f>
        <v>2.15</v>
      </c>
      <c r="I20" s="78"/>
      <c r="J20" s="59">
        <f>H20/H17</f>
        <v>0.2079303675048356</v>
      </c>
    </row>
    <row r="21" spans="1:10" s="59" customFormat="1" ht="15">
      <c r="A21" s="81" t="s">
        <v>22</v>
      </c>
      <c r="B21" s="34" t="s">
        <v>23</v>
      </c>
      <c r="C21" s="82">
        <v>3.04</v>
      </c>
      <c r="D21" s="83">
        <f>D17*J21</f>
        <v>127553.05794970987</v>
      </c>
      <c r="E21" s="83">
        <f>E17*J21</f>
        <v>129261.83195357834</v>
      </c>
      <c r="F21" s="83">
        <f t="shared" si="0"/>
        <v>127553.05794970987</v>
      </c>
      <c r="G21" s="84">
        <f>D21-E21</f>
        <v>-1708.7740038684715</v>
      </c>
      <c r="H21" s="78">
        <f>C21</f>
        <v>3.04</v>
      </c>
      <c r="I21" s="78"/>
      <c r="J21" s="59">
        <f>H21/H17</f>
        <v>0.2940038684719536</v>
      </c>
    </row>
    <row r="22" spans="1:12" s="89" customFormat="1" ht="14.25">
      <c r="A22" s="86" t="s">
        <v>25</v>
      </c>
      <c r="B22" s="86" t="s">
        <v>462</v>
      </c>
      <c r="C22" s="46" t="s">
        <v>798</v>
      </c>
      <c r="D22" s="87">
        <v>77219.91</v>
      </c>
      <c r="E22" s="87">
        <v>77038.73</v>
      </c>
      <c r="F22" s="87">
        <f>D22</f>
        <v>77219.91</v>
      </c>
      <c r="G22" s="77">
        <f aca="true" t="shared" si="1" ref="G22:G31">D22-E22</f>
        <v>181.18000000000757</v>
      </c>
      <c r="H22" s="88"/>
      <c r="I22" s="88"/>
      <c r="J22" s="88"/>
      <c r="K22" s="88"/>
      <c r="L22" s="88"/>
    </row>
    <row r="23" spans="1:12" s="89" customFormat="1" ht="14.25">
      <c r="A23" s="86" t="s">
        <v>27</v>
      </c>
      <c r="B23" s="86" t="s">
        <v>28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  <c r="L23" s="88"/>
    </row>
    <row r="24" spans="1:12" s="89" customFormat="1" ht="14.25">
      <c r="A24" s="86" t="s">
        <v>29</v>
      </c>
      <c r="B24" s="86" t="s">
        <v>30</v>
      </c>
      <c r="C24" s="46">
        <v>0</v>
      </c>
      <c r="D24" s="87">
        <v>0</v>
      </c>
      <c r="E24" s="87">
        <v>0</v>
      </c>
      <c r="F24" s="87">
        <f t="shared" si="0"/>
        <v>0</v>
      </c>
      <c r="G24" s="77">
        <f t="shared" si="1"/>
        <v>0</v>
      </c>
      <c r="H24" s="88"/>
      <c r="I24" s="88"/>
      <c r="J24" s="88"/>
      <c r="K24" s="88"/>
      <c r="L24" s="88"/>
    </row>
    <row r="25" spans="1:12" s="89" customFormat="1" ht="14.25">
      <c r="A25" s="86" t="s">
        <v>31</v>
      </c>
      <c r="B25" s="86" t="s">
        <v>116</v>
      </c>
      <c r="C25" s="95">
        <v>2.06</v>
      </c>
      <c r="D25" s="87">
        <v>81972.12</v>
      </c>
      <c r="E25" s="87">
        <v>83181.19</v>
      </c>
      <c r="F25" s="87">
        <f>F42</f>
        <v>182575.8519</v>
      </c>
      <c r="G25" s="77">
        <f t="shared" si="1"/>
        <v>-1209.070000000007</v>
      </c>
      <c r="H25" s="88"/>
      <c r="I25" s="88"/>
      <c r="J25" s="88"/>
      <c r="K25" s="88"/>
      <c r="L25" s="88"/>
    </row>
    <row r="26" spans="1:12" ht="14.25">
      <c r="A26" s="41" t="s">
        <v>33</v>
      </c>
      <c r="B26" s="41" t="s">
        <v>161</v>
      </c>
      <c r="C26" s="97">
        <v>12.54</v>
      </c>
      <c r="D26" s="90">
        <v>0</v>
      </c>
      <c r="E26" s="90">
        <v>0</v>
      </c>
      <c r="F26" s="90">
        <f>D26</f>
        <v>0</v>
      </c>
      <c r="G26" s="77">
        <f t="shared" si="1"/>
        <v>0</v>
      </c>
      <c r="H26" s="98"/>
      <c r="I26" s="98"/>
      <c r="J26" s="98"/>
      <c r="K26" s="98"/>
      <c r="L26" s="98"/>
    </row>
    <row r="27" spans="1:12" ht="14.25">
      <c r="A27" s="41" t="s">
        <v>35</v>
      </c>
      <c r="B27" s="41" t="s">
        <v>36</v>
      </c>
      <c r="C27" s="97"/>
      <c r="D27" s="77">
        <f>SUM(D28:D31)</f>
        <v>2131775.1</v>
      </c>
      <c r="E27" s="77">
        <f>SUM(E28:E31)</f>
        <v>2236529.7199999997</v>
      </c>
      <c r="F27" s="77">
        <f>SUM(F28:F31)</f>
        <v>2131775.1</v>
      </c>
      <c r="G27" s="77">
        <f t="shared" si="1"/>
        <v>-104754.61999999965</v>
      </c>
      <c r="H27" s="98"/>
      <c r="I27" s="98"/>
      <c r="J27" s="98"/>
      <c r="K27" s="98"/>
      <c r="L27" s="98"/>
    </row>
    <row r="28" spans="1:7" ht="15">
      <c r="A28" s="34" t="s">
        <v>37</v>
      </c>
      <c r="B28" s="34" t="s">
        <v>165</v>
      </c>
      <c r="C28" s="285">
        <v>6</v>
      </c>
      <c r="D28" s="84">
        <v>32907.24</v>
      </c>
      <c r="E28" s="84">
        <v>34645.13</v>
      </c>
      <c r="F28" s="84">
        <f>D28</f>
        <v>32907.24</v>
      </c>
      <c r="G28" s="84">
        <f t="shared" si="1"/>
        <v>-1737.8899999999994</v>
      </c>
    </row>
    <row r="29" spans="1:7" ht="15">
      <c r="A29" s="34" t="s">
        <v>39</v>
      </c>
      <c r="B29" s="34" t="s">
        <v>137</v>
      </c>
      <c r="C29" s="285">
        <v>57.08</v>
      </c>
      <c r="D29" s="84">
        <v>244255.98</v>
      </c>
      <c r="E29" s="84">
        <v>253689.75</v>
      </c>
      <c r="F29" s="84">
        <f>D29</f>
        <v>244255.98</v>
      </c>
      <c r="G29" s="84">
        <f t="shared" si="1"/>
        <v>-9433.76999999999</v>
      </c>
    </row>
    <row r="30" spans="1:7" ht="15">
      <c r="A30" s="34" t="s">
        <v>42</v>
      </c>
      <c r="B30" s="34" t="s">
        <v>340</v>
      </c>
      <c r="C30" s="286">
        <v>211.65</v>
      </c>
      <c r="D30" s="84">
        <v>478032.62</v>
      </c>
      <c r="E30" s="84">
        <v>492211.09</v>
      </c>
      <c r="F30" s="84">
        <f>D30</f>
        <v>478032.62</v>
      </c>
      <c r="G30" s="84">
        <f t="shared" si="1"/>
        <v>-14178.47000000003</v>
      </c>
    </row>
    <row r="31" spans="1:7" ht="15">
      <c r="A31" s="34" t="s">
        <v>41</v>
      </c>
      <c r="B31" s="34" t="s">
        <v>43</v>
      </c>
      <c r="C31" s="285">
        <v>2638.8</v>
      </c>
      <c r="D31" s="84">
        <v>1376579.26</v>
      </c>
      <c r="E31" s="84">
        <v>1455983.75</v>
      </c>
      <c r="F31" s="84">
        <f>D31</f>
        <v>1376579.26</v>
      </c>
      <c r="G31" s="84">
        <f t="shared" si="1"/>
        <v>-79404.48999999999</v>
      </c>
    </row>
    <row r="32" spans="1:10" s="102" customFormat="1" ht="16.5" customHeight="1" thickBot="1">
      <c r="A32" s="446" t="s">
        <v>294</v>
      </c>
      <c r="B32" s="447"/>
      <c r="C32" s="447"/>
      <c r="D32" s="448"/>
      <c r="E32" s="448"/>
      <c r="F32" s="448"/>
      <c r="G32" s="101"/>
      <c r="H32" s="101"/>
      <c r="I32" s="101"/>
      <c r="J32" s="101"/>
    </row>
    <row r="33" spans="1:10" s="67" customFormat="1" ht="15.75" thickBot="1">
      <c r="A33" s="455" t="s">
        <v>413</v>
      </c>
      <c r="B33" s="456"/>
      <c r="C33" s="456"/>
      <c r="D33" s="65">
        <v>482391.73</v>
      </c>
      <c r="E33" s="66"/>
      <c r="F33" s="66"/>
      <c r="G33" s="66"/>
      <c r="H33" s="62"/>
      <c r="I33" s="62"/>
      <c r="J33" s="62"/>
    </row>
    <row r="34" spans="1:10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  <c r="J34" s="62"/>
    </row>
    <row r="35" spans="1:12" s="67" customFormat="1" ht="15.75" thickBot="1">
      <c r="A35" s="63" t="s">
        <v>415</v>
      </c>
      <c r="B35" s="64"/>
      <c r="C35" s="64"/>
      <c r="D35" s="69"/>
      <c r="E35" s="70"/>
      <c r="F35" s="70"/>
      <c r="G35" s="144">
        <f>G14+E25-F25</f>
        <v>-161999.7742</v>
      </c>
      <c r="H35" s="62"/>
      <c r="I35" s="62"/>
      <c r="J35" s="62"/>
      <c r="L35" s="145"/>
    </row>
    <row r="36" spans="1:12" s="67" customFormat="1" ht="15">
      <c r="A36" s="516" t="s">
        <v>144</v>
      </c>
      <c r="B36" s="516"/>
      <c r="C36" s="68"/>
      <c r="D36" s="40"/>
      <c r="E36" s="66"/>
      <c r="F36" s="66"/>
      <c r="G36" s="40"/>
      <c r="H36" s="62"/>
      <c r="I36" s="62"/>
      <c r="J36" s="62"/>
      <c r="L36" s="145"/>
    </row>
    <row r="37" spans="1:12" s="67" customFormat="1" ht="15">
      <c r="A37" s="614" t="s">
        <v>145</v>
      </c>
      <c r="B37" s="614"/>
      <c r="C37" s="220" t="s">
        <v>146</v>
      </c>
      <c r="D37" s="220" t="s">
        <v>147</v>
      </c>
      <c r="E37" s="153" t="s">
        <v>148</v>
      </c>
      <c r="F37" s="284" t="s">
        <v>149</v>
      </c>
      <c r="G37" s="153" t="s">
        <v>150</v>
      </c>
      <c r="H37" s="62"/>
      <c r="I37" s="62"/>
      <c r="J37" s="62"/>
      <c r="L37" s="145"/>
    </row>
    <row r="38" spans="1:12" s="67" customFormat="1" ht="15">
      <c r="A38" s="614"/>
      <c r="B38" s="614"/>
      <c r="C38" s="294">
        <f>36+98.1+49.8</f>
        <v>183.89999999999998</v>
      </c>
      <c r="D38" s="153">
        <f>E38/C38/12</f>
        <v>17.576699293094077</v>
      </c>
      <c r="E38" s="234">
        <f>7592.94+31195.32</f>
        <v>38788.26</v>
      </c>
      <c r="F38" s="234">
        <f>9976.04+28595.71+2081.96</f>
        <v>40653.71</v>
      </c>
      <c r="G38" s="153">
        <f>E38-F38</f>
        <v>-1865.449999999997</v>
      </c>
      <c r="H38" s="62"/>
      <c r="I38" s="62"/>
      <c r="J38" s="62"/>
      <c r="L38" s="145"/>
    </row>
    <row r="39" spans="1:12" ht="31.5" customHeight="1">
      <c r="A39" s="444" t="s">
        <v>179</v>
      </c>
      <c r="B39" s="444"/>
      <c r="C39" s="444"/>
      <c r="D39" s="444"/>
      <c r="E39" s="444"/>
      <c r="F39" s="444"/>
      <c r="G39" s="444"/>
      <c r="H39" s="444"/>
      <c r="I39" s="444"/>
      <c r="J39" s="444"/>
      <c r="K39" s="444"/>
      <c r="L39" s="444"/>
    </row>
    <row r="41" spans="1:13" s="74" customFormat="1" ht="37.5" customHeight="1">
      <c r="A41" s="105" t="s">
        <v>11</v>
      </c>
      <c r="B41" s="471" t="s">
        <v>45</v>
      </c>
      <c r="C41" s="484"/>
      <c r="D41" s="105" t="s">
        <v>163</v>
      </c>
      <c r="E41" s="105" t="s">
        <v>162</v>
      </c>
      <c r="F41" s="471" t="s">
        <v>46</v>
      </c>
      <c r="G41" s="484"/>
      <c r="H41" s="244"/>
      <c r="I41" s="244"/>
      <c r="J41" s="245"/>
      <c r="M41" s="108"/>
    </row>
    <row r="42" spans="1:13" s="114" customFormat="1" ht="15" customHeight="1">
      <c r="A42" s="109" t="s">
        <v>47</v>
      </c>
      <c r="B42" s="473" t="s">
        <v>111</v>
      </c>
      <c r="C42" s="491"/>
      <c r="D42" s="110"/>
      <c r="E42" s="110"/>
      <c r="F42" s="496">
        <f>SUM(F43:G51)</f>
        <v>182575.8519</v>
      </c>
      <c r="G42" s="483"/>
      <c r="H42" s="246"/>
      <c r="I42" s="246"/>
      <c r="J42" s="247"/>
      <c r="M42" s="115"/>
    </row>
    <row r="43" spans="1:13" ht="15">
      <c r="A43" s="34" t="s">
        <v>16</v>
      </c>
      <c r="B43" s="462" t="s">
        <v>662</v>
      </c>
      <c r="C43" s="498"/>
      <c r="D43" s="403" t="s">
        <v>166</v>
      </c>
      <c r="E43" s="406">
        <v>4.4</v>
      </c>
      <c r="F43" s="497">
        <v>40309.04</v>
      </c>
      <c r="G43" s="497"/>
      <c r="H43" s="248"/>
      <c r="I43" s="248"/>
      <c r="J43" s="249"/>
      <c r="M43" s="119"/>
    </row>
    <row r="44" spans="1:13" ht="15">
      <c r="A44" s="34" t="s">
        <v>18</v>
      </c>
      <c r="B44" s="462" t="s">
        <v>565</v>
      </c>
      <c r="C44" s="498"/>
      <c r="D44" s="403"/>
      <c r="E44" s="406"/>
      <c r="F44" s="515">
        <v>21900</v>
      </c>
      <c r="G44" s="515"/>
      <c r="H44" s="40"/>
      <c r="I44" s="40"/>
      <c r="J44" s="40"/>
      <c r="M44" s="119"/>
    </row>
    <row r="45" spans="1:13" ht="15">
      <c r="A45" s="34" t="s">
        <v>20</v>
      </c>
      <c r="B45" s="462" t="s">
        <v>688</v>
      </c>
      <c r="C45" s="498"/>
      <c r="D45" s="403"/>
      <c r="E45" s="406"/>
      <c r="F45" s="515">
        <v>89315</v>
      </c>
      <c r="G45" s="515"/>
      <c r="H45" s="40"/>
      <c r="I45" s="40"/>
      <c r="J45" s="40"/>
      <c r="M45" s="119"/>
    </row>
    <row r="46" spans="1:13" ht="15">
      <c r="A46" s="34" t="s">
        <v>22</v>
      </c>
      <c r="B46" s="462" t="s">
        <v>609</v>
      </c>
      <c r="C46" s="498"/>
      <c r="D46" s="403"/>
      <c r="E46" s="406"/>
      <c r="F46" s="515">
        <v>13820</v>
      </c>
      <c r="G46" s="515"/>
      <c r="H46" s="40"/>
      <c r="I46" s="40"/>
      <c r="J46" s="40"/>
      <c r="M46" s="119"/>
    </row>
    <row r="47" spans="1:13" ht="15">
      <c r="A47" s="34" t="s">
        <v>24</v>
      </c>
      <c r="B47" s="462" t="s">
        <v>687</v>
      </c>
      <c r="C47" s="498"/>
      <c r="D47" s="403"/>
      <c r="E47" s="406"/>
      <c r="F47" s="515">
        <v>2400</v>
      </c>
      <c r="G47" s="515"/>
      <c r="H47" s="40"/>
      <c r="I47" s="40"/>
      <c r="J47" s="40"/>
      <c r="M47" s="119"/>
    </row>
    <row r="48" spans="1:13" ht="15">
      <c r="A48" s="34" t="s">
        <v>103</v>
      </c>
      <c r="B48" s="449" t="s">
        <v>814</v>
      </c>
      <c r="C48" s="641"/>
      <c r="D48" s="118" t="s">
        <v>391</v>
      </c>
      <c r="E48" s="152">
        <v>5</v>
      </c>
      <c r="F48" s="495">
        <v>14000</v>
      </c>
      <c r="G48" s="495"/>
      <c r="H48" s="40"/>
      <c r="I48" s="40"/>
      <c r="J48" s="40"/>
      <c r="M48" s="119"/>
    </row>
    <row r="49" spans="1:13" ht="15">
      <c r="A49" s="34" t="s">
        <v>104</v>
      </c>
      <c r="B49" s="462"/>
      <c r="C49" s="498"/>
      <c r="D49" s="403"/>
      <c r="E49" s="406"/>
      <c r="F49" s="497"/>
      <c r="G49" s="497"/>
      <c r="H49" s="40"/>
      <c r="I49" s="40"/>
      <c r="J49" s="40"/>
      <c r="M49" s="119"/>
    </row>
    <row r="50" spans="1:13" ht="15">
      <c r="A50" s="34" t="s">
        <v>117</v>
      </c>
      <c r="B50" s="462"/>
      <c r="C50" s="498"/>
      <c r="D50" s="403"/>
      <c r="E50" s="406"/>
      <c r="F50" s="497"/>
      <c r="G50" s="497"/>
      <c r="H50" s="40"/>
      <c r="I50" s="40"/>
      <c r="J50" s="40"/>
      <c r="M50" s="119"/>
    </row>
    <row r="51" spans="1:12" s="67" customFormat="1" ht="15">
      <c r="A51" s="34" t="s">
        <v>118</v>
      </c>
      <c r="B51" s="511" t="s">
        <v>188</v>
      </c>
      <c r="C51" s="512"/>
      <c r="D51" s="123"/>
      <c r="E51" s="123"/>
      <c r="F51" s="495">
        <f>E25*1%</f>
        <v>831.8119</v>
      </c>
      <c r="G51" s="495"/>
      <c r="H51" s="59"/>
      <c r="I51" s="59"/>
      <c r="J51" s="59"/>
      <c r="K51" s="59"/>
      <c r="L51" s="59"/>
    </row>
    <row r="52" s="59" customFormat="1" ht="9" customHeight="1"/>
    <row r="53" spans="1:12" s="59" customFormat="1" ht="15">
      <c r="A53" s="67" t="s">
        <v>55</v>
      </c>
      <c r="B53" s="67"/>
      <c r="C53" s="125" t="s">
        <v>49</v>
      </c>
      <c r="D53" s="67"/>
      <c r="E53" s="67"/>
      <c r="F53" s="67" t="s">
        <v>90</v>
      </c>
      <c r="G53" s="67"/>
      <c r="H53" s="67"/>
      <c r="I53" s="67"/>
      <c r="J53" s="67"/>
      <c r="K53" s="67"/>
      <c r="L53" s="67"/>
    </row>
    <row r="54" spans="1:7" s="59" customFormat="1" ht="15">
      <c r="A54" s="67"/>
      <c r="B54" s="67"/>
      <c r="C54" s="125"/>
      <c r="D54" s="67"/>
      <c r="E54" s="67"/>
      <c r="F54" s="126" t="s">
        <v>545</v>
      </c>
      <c r="G54" s="67"/>
    </row>
    <row r="55" spans="1:11" s="59" customFormat="1" ht="15">
      <c r="A55" s="67" t="s">
        <v>50</v>
      </c>
      <c r="B55" s="67"/>
      <c r="C55" s="125"/>
      <c r="D55" s="67"/>
      <c r="E55" s="67"/>
      <c r="F55" s="67"/>
      <c r="G55" s="67"/>
      <c r="H55" s="156"/>
      <c r="I55" s="156"/>
      <c r="J55" s="156"/>
      <c r="K55" s="156"/>
    </row>
    <row r="56" spans="1:12" ht="15">
      <c r="A56" s="67"/>
      <c r="B56" s="67"/>
      <c r="C56" s="127" t="s">
        <v>51</v>
      </c>
      <c r="D56" s="67"/>
      <c r="E56" s="128"/>
      <c r="F56" s="128"/>
      <c r="G56" s="128"/>
      <c r="H56" s="59"/>
      <c r="I56" s="59"/>
      <c r="J56" s="59"/>
      <c r="K56" s="59"/>
      <c r="L56" s="59"/>
    </row>
    <row r="57" spans="1:12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</row>
  </sheetData>
  <sheetProtection/>
  <mergeCells count="34">
    <mergeCell ref="B47:C47"/>
    <mergeCell ref="B48:C48"/>
    <mergeCell ref="B49:C49"/>
    <mergeCell ref="B50:C50"/>
    <mergeCell ref="F47:G47"/>
    <mergeCell ref="F48:G48"/>
    <mergeCell ref="F49:G49"/>
    <mergeCell ref="F50:G50"/>
    <mergeCell ref="B51:C51"/>
    <mergeCell ref="F51:G51"/>
    <mergeCell ref="B42:C42"/>
    <mergeCell ref="F42:G42"/>
    <mergeCell ref="B43:C43"/>
    <mergeCell ref="F43:G43"/>
    <mergeCell ref="B45:C45"/>
    <mergeCell ref="B44:C44"/>
    <mergeCell ref="F44:G44"/>
    <mergeCell ref="F45:G45"/>
    <mergeCell ref="A39:L39"/>
    <mergeCell ref="B41:C41"/>
    <mergeCell ref="F41:G41"/>
    <mergeCell ref="A32:F32"/>
    <mergeCell ref="A36:B36"/>
    <mergeCell ref="A37:B38"/>
    <mergeCell ref="B46:C46"/>
    <mergeCell ref="F46:G46"/>
    <mergeCell ref="A1:L1"/>
    <mergeCell ref="A2:L2"/>
    <mergeCell ref="A3:L3"/>
    <mergeCell ref="A5:L5"/>
    <mergeCell ref="A10:L10"/>
    <mergeCell ref="A11:L11"/>
    <mergeCell ref="A12:L12"/>
    <mergeCell ref="A33:C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FF00"/>
  </sheetPr>
  <dimension ref="A1:N52"/>
  <sheetViews>
    <sheetView zoomScalePageLayoutView="0" workbookViewId="0" topLeftCell="A35">
      <selection activeCell="F45" sqref="F45:G45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8" s="59" customFormat="1" ht="16.5" customHeight="1">
      <c r="A7" s="59" t="s">
        <v>2</v>
      </c>
      <c r="F7" s="242" t="s">
        <v>205</v>
      </c>
      <c r="G7" s="251"/>
      <c r="H7" s="60"/>
    </row>
    <row r="8" spans="1:10" s="59" customFormat="1" ht="12.75">
      <c r="A8" s="59" t="s">
        <v>3</v>
      </c>
      <c r="F8" s="300" t="s">
        <v>469</v>
      </c>
      <c r="G8" s="251"/>
      <c r="H8" s="60"/>
      <c r="I8" s="61">
        <v>104</v>
      </c>
      <c r="J8" s="251">
        <f>3191.2+104</f>
        <v>3295.2</v>
      </c>
    </row>
    <row r="9" spans="2:10" s="59" customFormat="1" ht="12.75">
      <c r="B9" s="59" t="s">
        <v>507</v>
      </c>
      <c r="F9" s="300" t="s">
        <v>531</v>
      </c>
      <c r="G9" s="251"/>
      <c r="H9" s="60"/>
      <c r="I9" s="251"/>
      <c r="J9" s="251"/>
    </row>
    <row r="10" spans="1:11" s="59" customFormat="1" ht="12.7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11" s="59" customFormat="1" ht="12.7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431</v>
      </c>
      <c r="B14" s="64"/>
      <c r="C14" s="64"/>
      <c r="D14" s="69"/>
      <c r="E14" s="70"/>
      <c r="F14" s="70"/>
      <c r="G14" s="65">
        <f>'[2]Хрустальная 62'!$G$34</f>
        <v>-1134670.1203</v>
      </c>
      <c r="H14" s="62"/>
      <c r="I14" s="62"/>
    </row>
    <row r="15" s="59" customFormat="1" ht="6.75" customHeight="1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</row>
    <row r="17" spans="1:14" s="59" customFormat="1" ht="14.25">
      <c r="A17" s="75" t="s">
        <v>14</v>
      </c>
      <c r="B17" s="41" t="s">
        <v>15</v>
      </c>
      <c r="C17" s="97">
        <f>C18+C19+C20+C21</f>
        <v>10.34</v>
      </c>
      <c r="D17" s="76">
        <v>432252.96</v>
      </c>
      <c r="E17" s="76">
        <v>396510.29</v>
      </c>
      <c r="F17" s="76">
        <f aca="true" t="shared" si="0" ref="F17:F24">D17</f>
        <v>432252.96</v>
      </c>
      <c r="G17" s="77">
        <f>D17-E17</f>
        <v>35742.67000000004</v>
      </c>
      <c r="H17" s="78">
        <f>C17</f>
        <v>10.34</v>
      </c>
      <c r="I17" s="79"/>
      <c r="J17" s="79"/>
      <c r="K17" s="79"/>
      <c r="M17" s="78"/>
      <c r="N17" s="80"/>
    </row>
    <row r="18" spans="1:9" s="59" customFormat="1" ht="15">
      <c r="A18" s="81" t="s">
        <v>16</v>
      </c>
      <c r="B18" s="34" t="s">
        <v>17</v>
      </c>
      <c r="C18" s="82">
        <v>3.46</v>
      </c>
      <c r="D18" s="83">
        <f>D17*I18</f>
        <v>144641.70615087042</v>
      </c>
      <c r="E18" s="83">
        <f>E17*I18</f>
        <v>132681.39297872342</v>
      </c>
      <c r="F18" s="83">
        <f t="shared" si="0"/>
        <v>144641.70615087042</v>
      </c>
      <c r="G18" s="84">
        <f>D18-E18</f>
        <v>11960.313172146998</v>
      </c>
      <c r="H18" s="78">
        <f>C18</f>
        <v>3.46</v>
      </c>
      <c r="I18" s="59">
        <f>H18/H17</f>
        <v>0.33462282398452614</v>
      </c>
    </row>
    <row r="19" spans="1:9" s="59" customFormat="1" ht="15">
      <c r="A19" s="81" t="s">
        <v>18</v>
      </c>
      <c r="B19" s="34" t="s">
        <v>19</v>
      </c>
      <c r="C19" s="85">
        <v>1.69</v>
      </c>
      <c r="D19" s="83">
        <f>D17*I19</f>
        <v>70648.69462282398</v>
      </c>
      <c r="E19" s="83">
        <f>E17*I19</f>
        <v>64806.80755319148</v>
      </c>
      <c r="F19" s="83">
        <f t="shared" si="0"/>
        <v>70648.69462282398</v>
      </c>
      <c r="G19" s="84">
        <f>D19-E19</f>
        <v>5841.887069632503</v>
      </c>
      <c r="H19" s="78">
        <f>C19</f>
        <v>1.69</v>
      </c>
      <c r="I19" s="59">
        <f>H19/H17</f>
        <v>0.1634429400386847</v>
      </c>
    </row>
    <row r="20" spans="1:9" s="59" customFormat="1" ht="15">
      <c r="A20" s="81" t="s">
        <v>20</v>
      </c>
      <c r="B20" s="34" t="s">
        <v>21</v>
      </c>
      <c r="C20" s="85">
        <v>2.15</v>
      </c>
      <c r="D20" s="83">
        <f>D17*I20</f>
        <v>89878.516827853</v>
      </c>
      <c r="E20" s="83">
        <f>E17*I20</f>
        <v>82446.53031914894</v>
      </c>
      <c r="F20" s="83">
        <f t="shared" si="0"/>
        <v>89878.516827853</v>
      </c>
      <c r="G20" s="84">
        <f>D20-E20</f>
        <v>7431.986508704067</v>
      </c>
      <c r="H20" s="78">
        <f>C20</f>
        <v>2.15</v>
      </c>
      <c r="I20" s="59">
        <f>H20/H17</f>
        <v>0.2079303675048356</v>
      </c>
    </row>
    <row r="21" spans="1:9" s="59" customFormat="1" ht="15">
      <c r="A21" s="81" t="s">
        <v>22</v>
      </c>
      <c r="B21" s="34" t="s">
        <v>23</v>
      </c>
      <c r="C21" s="82">
        <v>3.04</v>
      </c>
      <c r="D21" s="83">
        <f>D17*I21</f>
        <v>127084.04239845263</v>
      </c>
      <c r="E21" s="83">
        <f>E17*I21</f>
        <v>116575.55914893617</v>
      </c>
      <c r="F21" s="83">
        <f t="shared" si="0"/>
        <v>127084.04239845263</v>
      </c>
      <c r="G21" s="84">
        <f>D21-E21</f>
        <v>10508.48324951646</v>
      </c>
      <c r="H21" s="78">
        <f>C21</f>
        <v>3.04</v>
      </c>
      <c r="I21" s="59">
        <f>H21/H17</f>
        <v>0.2940038684719536</v>
      </c>
    </row>
    <row r="22" spans="1:11" s="89" customFormat="1" ht="14.25">
      <c r="A22" s="86" t="s">
        <v>25</v>
      </c>
      <c r="B22" s="86" t="s">
        <v>462</v>
      </c>
      <c r="C22" s="46" t="s">
        <v>798</v>
      </c>
      <c r="D22" s="87">
        <v>79559.91</v>
      </c>
      <c r="E22" s="87">
        <v>69736.15</v>
      </c>
      <c r="F22" s="87">
        <f>D22</f>
        <v>79559.91</v>
      </c>
      <c r="G22" s="77">
        <f aca="true" t="shared" si="1" ref="G22:G31">D22-E22</f>
        <v>9823.76000000001</v>
      </c>
      <c r="H22" s="88"/>
      <c r="I22" s="88"/>
      <c r="J22" s="88"/>
      <c r="K22" s="88"/>
    </row>
    <row r="23" spans="1:11" s="89" customFormat="1" ht="14.25">
      <c r="A23" s="86" t="s">
        <v>27</v>
      </c>
      <c r="B23" s="86" t="s">
        <v>28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29</v>
      </c>
      <c r="B24" s="86" t="s">
        <v>30</v>
      </c>
      <c r="C24" s="46">
        <v>0</v>
      </c>
      <c r="D24" s="87">
        <v>0</v>
      </c>
      <c r="E24" s="87">
        <v>0</v>
      </c>
      <c r="F24" s="87">
        <f t="shared" si="0"/>
        <v>0</v>
      </c>
      <c r="G24" s="77">
        <f t="shared" si="1"/>
        <v>0</v>
      </c>
      <c r="H24" s="88"/>
      <c r="I24" s="88"/>
      <c r="J24" s="88"/>
      <c r="K24" s="88"/>
    </row>
    <row r="25" spans="1:11" s="89" customFormat="1" ht="14.25">
      <c r="A25" s="86" t="s">
        <v>31</v>
      </c>
      <c r="B25" s="86" t="s">
        <v>116</v>
      </c>
      <c r="C25" s="95">
        <v>2.06</v>
      </c>
      <c r="D25" s="87">
        <v>81489.83</v>
      </c>
      <c r="E25" s="87">
        <v>75610.03</v>
      </c>
      <c r="F25" s="87">
        <f>F40</f>
        <v>71392.1003</v>
      </c>
      <c r="G25" s="77">
        <f t="shared" si="1"/>
        <v>5879.800000000003</v>
      </c>
      <c r="H25" s="88"/>
      <c r="I25" s="88"/>
      <c r="J25" s="88"/>
      <c r="K25" s="88"/>
    </row>
    <row r="26" spans="1:11" ht="14.25">
      <c r="A26" s="41" t="s">
        <v>33</v>
      </c>
      <c r="B26" s="41" t="s">
        <v>161</v>
      </c>
      <c r="C26" s="97">
        <v>12.54</v>
      </c>
      <c r="D26" s="90">
        <v>0</v>
      </c>
      <c r="E26" s="90">
        <v>0</v>
      </c>
      <c r="F26" s="90">
        <f>D26</f>
        <v>0</v>
      </c>
      <c r="G26" s="77">
        <f t="shared" si="1"/>
        <v>0</v>
      </c>
      <c r="H26" s="98"/>
      <c r="I26" s="98"/>
      <c r="J26" s="98"/>
      <c r="K26" s="98"/>
    </row>
    <row r="27" spans="1:11" ht="14.25">
      <c r="A27" s="41" t="s">
        <v>35</v>
      </c>
      <c r="B27" s="41" t="s">
        <v>36</v>
      </c>
      <c r="C27" s="97"/>
      <c r="D27" s="77">
        <f>SUM(D28:D31)</f>
        <v>2571846.25</v>
      </c>
      <c r="E27" s="77">
        <f>SUM(E28:E31)</f>
        <v>2355107.2800000003</v>
      </c>
      <c r="F27" s="77">
        <f>SUM(F28:F31)</f>
        <v>2571846.25</v>
      </c>
      <c r="G27" s="77">
        <f t="shared" si="1"/>
        <v>216738.96999999974</v>
      </c>
      <c r="H27" s="98"/>
      <c r="I27" s="98"/>
      <c r="J27" s="98"/>
      <c r="K27" s="98"/>
    </row>
    <row r="28" spans="1:7" ht="15">
      <c r="A28" s="34" t="s">
        <v>37</v>
      </c>
      <c r="B28" s="34" t="s">
        <v>165</v>
      </c>
      <c r="C28" s="285">
        <v>6</v>
      </c>
      <c r="D28" s="84">
        <v>43411.11</v>
      </c>
      <c r="E28" s="84">
        <v>40211.56</v>
      </c>
      <c r="F28" s="84">
        <f>D28</f>
        <v>43411.11</v>
      </c>
      <c r="G28" s="84">
        <f t="shared" si="1"/>
        <v>3199.550000000003</v>
      </c>
    </row>
    <row r="29" spans="1:7" ht="15">
      <c r="A29" s="34" t="s">
        <v>39</v>
      </c>
      <c r="B29" s="34" t="s">
        <v>137</v>
      </c>
      <c r="C29" s="285">
        <v>57.08</v>
      </c>
      <c r="D29" s="84">
        <v>414103.64</v>
      </c>
      <c r="E29" s="84">
        <v>378782.65</v>
      </c>
      <c r="F29" s="84">
        <f>D29</f>
        <v>414103.64</v>
      </c>
      <c r="G29" s="84">
        <f t="shared" si="1"/>
        <v>35320.98999999999</v>
      </c>
    </row>
    <row r="30" spans="1:7" ht="15">
      <c r="A30" s="34" t="s">
        <v>42</v>
      </c>
      <c r="B30" s="34" t="s">
        <v>340</v>
      </c>
      <c r="C30" s="286">
        <v>211.65</v>
      </c>
      <c r="D30" s="210">
        <v>722669.31</v>
      </c>
      <c r="E30" s="210">
        <v>654889.02</v>
      </c>
      <c r="F30" s="84">
        <f>D30</f>
        <v>722669.31</v>
      </c>
      <c r="G30" s="84">
        <f t="shared" si="1"/>
        <v>67780.29000000004</v>
      </c>
    </row>
    <row r="31" spans="1:7" ht="15">
      <c r="A31" s="34" t="s">
        <v>41</v>
      </c>
      <c r="B31" s="34" t="s">
        <v>43</v>
      </c>
      <c r="C31" s="285">
        <v>2638.8</v>
      </c>
      <c r="D31" s="84">
        <v>1391662.19</v>
      </c>
      <c r="E31" s="84">
        <v>1281224.05</v>
      </c>
      <c r="F31" s="84">
        <f>D31</f>
        <v>1391662.19</v>
      </c>
      <c r="G31" s="84">
        <f t="shared" si="1"/>
        <v>110438.1399999999</v>
      </c>
    </row>
    <row r="32" spans="1:9" s="102" customFormat="1" ht="16.5" customHeight="1" thickBot="1">
      <c r="A32" s="446" t="s">
        <v>294</v>
      </c>
      <c r="B32" s="447"/>
      <c r="C32" s="447"/>
      <c r="D32" s="448"/>
      <c r="E32" s="448"/>
      <c r="F32" s="448"/>
      <c r="G32" s="101"/>
      <c r="H32" s="101"/>
      <c r="I32" s="101"/>
    </row>
    <row r="33" spans="1:9" s="67" customFormat="1" ht="15.75" thickBot="1">
      <c r="A33" s="455" t="s">
        <v>413</v>
      </c>
      <c r="B33" s="456"/>
      <c r="C33" s="456"/>
      <c r="D33" s="65">
        <v>1366106.74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11" s="67" customFormat="1" ht="15.75" thickBot="1">
      <c r="A35" s="63" t="s">
        <v>415</v>
      </c>
      <c r="B35" s="64"/>
      <c r="C35" s="64"/>
      <c r="D35" s="69"/>
      <c r="E35" s="70"/>
      <c r="F35" s="70"/>
      <c r="G35" s="144">
        <f>G14+E25-F25</f>
        <v>-1130452.1906</v>
      </c>
      <c r="H35" s="62"/>
      <c r="I35" s="62"/>
      <c r="K35" s="145"/>
    </row>
    <row r="36" spans="1:11" s="67" customFormat="1" ht="15">
      <c r="A36" s="68"/>
      <c r="B36" s="68"/>
      <c r="C36" s="68"/>
      <c r="D36" s="40"/>
      <c r="E36" s="66"/>
      <c r="F36" s="66"/>
      <c r="G36" s="40"/>
      <c r="H36" s="62"/>
      <c r="I36" s="62"/>
      <c r="K36" s="145"/>
    </row>
    <row r="37" spans="1:11" ht="31.5" customHeight="1">
      <c r="A37" s="444" t="s">
        <v>179</v>
      </c>
      <c r="B37" s="444"/>
      <c r="C37" s="444"/>
      <c r="D37" s="444"/>
      <c r="E37" s="444"/>
      <c r="F37" s="444"/>
      <c r="G37" s="444"/>
      <c r="H37" s="444"/>
      <c r="I37" s="444"/>
      <c r="J37" s="444"/>
      <c r="K37" s="444"/>
    </row>
    <row r="39" spans="1:12" s="74" customFormat="1" ht="37.5" customHeight="1">
      <c r="A39" s="105" t="s">
        <v>11</v>
      </c>
      <c r="B39" s="471" t="s">
        <v>45</v>
      </c>
      <c r="C39" s="484"/>
      <c r="D39" s="105" t="s">
        <v>163</v>
      </c>
      <c r="E39" s="105" t="s">
        <v>162</v>
      </c>
      <c r="F39" s="471" t="s">
        <v>46</v>
      </c>
      <c r="G39" s="484"/>
      <c r="H39" s="244"/>
      <c r="I39" s="245"/>
      <c r="L39" s="108"/>
    </row>
    <row r="40" spans="1:12" s="114" customFormat="1" ht="15" customHeight="1">
      <c r="A40" s="109" t="s">
        <v>47</v>
      </c>
      <c r="B40" s="473" t="s">
        <v>111</v>
      </c>
      <c r="C40" s="491"/>
      <c r="D40" s="110"/>
      <c r="E40" s="110"/>
      <c r="F40" s="496">
        <f>SUM(F41:G46)</f>
        <v>71392.1003</v>
      </c>
      <c r="G40" s="483"/>
      <c r="H40" s="246"/>
      <c r="I40" s="247"/>
      <c r="L40" s="115"/>
    </row>
    <row r="41" spans="1:12" ht="15">
      <c r="A41" s="34" t="s">
        <v>16</v>
      </c>
      <c r="B41" s="462" t="s">
        <v>609</v>
      </c>
      <c r="C41" s="489"/>
      <c r="D41" s="403"/>
      <c r="E41" s="403"/>
      <c r="F41" s="624">
        <v>13900</v>
      </c>
      <c r="G41" s="625"/>
      <c r="H41" s="248"/>
      <c r="I41" s="249"/>
      <c r="L41" s="119"/>
    </row>
    <row r="42" spans="1:12" ht="15">
      <c r="A42" s="34" t="s">
        <v>18</v>
      </c>
      <c r="B42" s="462" t="s">
        <v>406</v>
      </c>
      <c r="C42" s="489"/>
      <c r="D42" s="403"/>
      <c r="E42" s="403"/>
      <c r="F42" s="525">
        <v>12000</v>
      </c>
      <c r="G42" s="526"/>
      <c r="H42" s="40"/>
      <c r="I42" s="40"/>
      <c r="L42" s="119"/>
    </row>
    <row r="43" spans="1:12" ht="15" customHeight="1">
      <c r="A43" s="34" t="s">
        <v>20</v>
      </c>
      <c r="B43" s="462" t="s">
        <v>689</v>
      </c>
      <c r="C43" s="489"/>
      <c r="D43" s="403"/>
      <c r="E43" s="403"/>
      <c r="F43" s="624">
        <v>29818</v>
      </c>
      <c r="G43" s="625"/>
      <c r="H43" s="40"/>
      <c r="I43" s="40"/>
      <c r="L43" s="119"/>
    </row>
    <row r="44" spans="1:12" ht="15">
      <c r="A44" s="34" t="s">
        <v>22</v>
      </c>
      <c r="B44" s="462" t="s">
        <v>690</v>
      </c>
      <c r="C44" s="489"/>
      <c r="D44" s="403"/>
      <c r="E44" s="403"/>
      <c r="F44" s="624">
        <v>918</v>
      </c>
      <c r="G44" s="625"/>
      <c r="H44" s="40"/>
      <c r="I44" s="40"/>
      <c r="L44" s="119"/>
    </row>
    <row r="45" spans="1:12" ht="15">
      <c r="A45" s="34" t="s">
        <v>24</v>
      </c>
      <c r="B45" s="449" t="s">
        <v>814</v>
      </c>
      <c r="C45" s="451"/>
      <c r="D45" s="118" t="s">
        <v>391</v>
      </c>
      <c r="E45" s="118">
        <v>5</v>
      </c>
      <c r="F45" s="521">
        <v>14000</v>
      </c>
      <c r="G45" s="522"/>
      <c r="H45" s="40"/>
      <c r="I45" s="40"/>
      <c r="L45" s="119"/>
    </row>
    <row r="46" spans="1:11" s="67" customFormat="1" ht="15">
      <c r="A46" s="34" t="s">
        <v>24</v>
      </c>
      <c r="B46" s="511" t="s">
        <v>188</v>
      </c>
      <c r="C46" s="512"/>
      <c r="D46" s="123"/>
      <c r="E46" s="123"/>
      <c r="F46" s="495">
        <f>E25*1%</f>
        <v>756.1003</v>
      </c>
      <c r="G46" s="495"/>
      <c r="H46" s="59"/>
      <c r="I46" s="59"/>
      <c r="J46" s="59"/>
      <c r="K46" s="59"/>
    </row>
    <row r="47" s="59" customFormat="1" ht="9" customHeight="1"/>
    <row r="48" spans="1:11" s="59" customFormat="1" ht="15">
      <c r="A48" s="67" t="s">
        <v>55</v>
      </c>
      <c r="B48" s="67"/>
      <c r="C48" s="125" t="s">
        <v>49</v>
      </c>
      <c r="D48" s="67"/>
      <c r="E48" s="67"/>
      <c r="F48" s="67" t="s">
        <v>90</v>
      </c>
      <c r="G48" s="67"/>
      <c r="H48" s="67"/>
      <c r="I48" s="67"/>
      <c r="J48" s="67"/>
      <c r="K48" s="67"/>
    </row>
    <row r="49" spans="1:7" s="59" customFormat="1" ht="15">
      <c r="A49" s="67"/>
      <c r="B49" s="67"/>
      <c r="C49" s="125"/>
      <c r="D49" s="67"/>
      <c r="E49" s="67"/>
      <c r="F49" s="126" t="s">
        <v>545</v>
      </c>
      <c r="G49" s="67"/>
    </row>
    <row r="50" spans="1:10" s="59" customFormat="1" ht="15">
      <c r="A50" s="67" t="s">
        <v>50</v>
      </c>
      <c r="B50" s="67"/>
      <c r="C50" s="125"/>
      <c r="D50" s="67"/>
      <c r="E50" s="67"/>
      <c r="F50" s="67"/>
      <c r="G50" s="67"/>
      <c r="H50" s="156"/>
      <c r="I50" s="156"/>
      <c r="J50" s="156"/>
    </row>
    <row r="51" spans="1:11" ht="15">
      <c r="A51" s="67"/>
      <c r="B51" s="67"/>
      <c r="C51" s="127" t="s">
        <v>51</v>
      </c>
      <c r="D51" s="67"/>
      <c r="E51" s="128"/>
      <c r="F51" s="128"/>
      <c r="G51" s="128"/>
      <c r="H51" s="59"/>
      <c r="I51" s="59"/>
      <c r="J51" s="59"/>
      <c r="K51" s="59"/>
    </row>
    <row r="52" spans="1:11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</row>
  </sheetData>
  <sheetProtection/>
  <mergeCells count="26">
    <mergeCell ref="B46:C46"/>
    <mergeCell ref="F46:G46"/>
    <mergeCell ref="B42:C42"/>
    <mergeCell ref="F42:G42"/>
    <mergeCell ref="B45:C45"/>
    <mergeCell ref="F45:G45"/>
    <mergeCell ref="B44:C44"/>
    <mergeCell ref="F44:G44"/>
    <mergeCell ref="A33:C33"/>
    <mergeCell ref="A37:K37"/>
    <mergeCell ref="B39:C39"/>
    <mergeCell ref="F39:G39"/>
    <mergeCell ref="B43:C43"/>
    <mergeCell ref="F43:G43"/>
    <mergeCell ref="B40:C40"/>
    <mergeCell ref="F40:G40"/>
    <mergeCell ref="B41:C41"/>
    <mergeCell ref="F41:G41"/>
    <mergeCell ref="A32:F32"/>
    <mergeCell ref="A12:K12"/>
    <mergeCell ref="A1:K1"/>
    <mergeCell ref="A2:K2"/>
    <mergeCell ref="A3:K3"/>
    <mergeCell ref="A5:K5"/>
    <mergeCell ref="A10:K10"/>
    <mergeCell ref="A11:K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FF00"/>
  </sheetPr>
  <dimension ref="A1:N54"/>
  <sheetViews>
    <sheetView zoomScalePageLayoutView="0" workbookViewId="0" topLeftCell="A39">
      <selection activeCell="A49" sqref="A49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11.421875" style="57" bestFit="1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8" s="59" customFormat="1" ht="16.5" customHeight="1">
      <c r="A7" s="59" t="s">
        <v>2</v>
      </c>
      <c r="F7" s="60" t="s">
        <v>200</v>
      </c>
      <c r="H7" s="60"/>
    </row>
    <row r="8" spans="1:10" s="59" customFormat="1" ht="12.75">
      <c r="A8" s="59" t="s">
        <v>3</v>
      </c>
      <c r="F8" s="301" t="s">
        <v>373</v>
      </c>
      <c r="H8" s="273">
        <f>107.5+115.3</f>
        <v>222.8</v>
      </c>
      <c r="I8" s="59">
        <f>4425.28</f>
        <v>4425.28</v>
      </c>
      <c r="J8" s="59">
        <f>H8+I8</f>
        <v>4648.08</v>
      </c>
    </row>
    <row r="9" spans="2:8" s="59" customFormat="1" ht="12.75">
      <c r="B9" s="59" t="s">
        <v>507</v>
      </c>
      <c r="F9" s="301" t="s">
        <v>532</v>
      </c>
      <c r="H9" s="242"/>
    </row>
    <row r="10" spans="1:11" s="59" customFormat="1" ht="12.7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11" s="59" customFormat="1" ht="12.7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431</v>
      </c>
      <c r="B14" s="64"/>
      <c r="C14" s="64"/>
      <c r="D14" s="69"/>
      <c r="E14" s="70"/>
      <c r="F14" s="70"/>
      <c r="G14" s="65">
        <f>'[2]Хрустальная 66'!$G$35</f>
        <v>16157.454999999987</v>
      </c>
      <c r="H14" s="62"/>
      <c r="I14" s="62"/>
    </row>
    <row r="15" s="59" customFormat="1" ht="6.75" customHeight="1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</row>
    <row r="17" spans="1:14" s="59" customFormat="1" ht="14.25">
      <c r="A17" s="75" t="s">
        <v>14</v>
      </c>
      <c r="B17" s="41" t="s">
        <v>15</v>
      </c>
      <c r="C17" s="97">
        <f>C18+C19+C20+C21</f>
        <v>10.34</v>
      </c>
      <c r="D17" s="76">
        <v>592099.42</v>
      </c>
      <c r="E17" s="76">
        <v>558891.79</v>
      </c>
      <c r="F17" s="76">
        <f aca="true" t="shared" si="0" ref="F17:F24">D17</f>
        <v>592099.42</v>
      </c>
      <c r="G17" s="77">
        <f>D17-E17</f>
        <v>33207.630000000005</v>
      </c>
      <c r="H17" s="78">
        <f>C17</f>
        <v>10.34</v>
      </c>
      <c r="I17" s="79"/>
      <c r="J17" s="79"/>
      <c r="K17" s="79"/>
      <c r="M17" s="78"/>
      <c r="N17" s="80"/>
    </row>
    <row r="18" spans="1:9" s="59" customFormat="1" ht="15">
      <c r="A18" s="81" t="s">
        <v>16</v>
      </c>
      <c r="B18" s="34" t="s">
        <v>17</v>
      </c>
      <c r="C18" s="82">
        <v>3.46</v>
      </c>
      <c r="D18" s="83">
        <f>D17*I18</f>
        <v>198129.98000000004</v>
      </c>
      <c r="E18" s="83">
        <f>E17*I18</f>
        <v>187017.94907156675</v>
      </c>
      <c r="F18" s="83">
        <f t="shared" si="0"/>
        <v>198129.98000000004</v>
      </c>
      <c r="G18" s="84">
        <f>D18-E18</f>
        <v>11112.03092843329</v>
      </c>
      <c r="H18" s="78">
        <f>C18</f>
        <v>3.46</v>
      </c>
      <c r="I18" s="59">
        <f>H18/H17</f>
        <v>0.33462282398452614</v>
      </c>
    </row>
    <row r="19" spans="1:9" s="59" customFormat="1" ht="15">
      <c r="A19" s="81" t="s">
        <v>18</v>
      </c>
      <c r="B19" s="34" t="s">
        <v>19</v>
      </c>
      <c r="C19" s="85">
        <v>1.69</v>
      </c>
      <c r="D19" s="83">
        <f>D17*I19</f>
        <v>96774.47</v>
      </c>
      <c r="E19" s="83">
        <f>E17*I19</f>
        <v>91346.91732108317</v>
      </c>
      <c r="F19" s="83">
        <f t="shared" si="0"/>
        <v>96774.47</v>
      </c>
      <c r="G19" s="84">
        <f>D19-E19</f>
        <v>5427.552678916836</v>
      </c>
      <c r="H19" s="78">
        <f>C19</f>
        <v>1.69</v>
      </c>
      <c r="I19" s="59">
        <f>H19/H17</f>
        <v>0.1634429400386847</v>
      </c>
    </row>
    <row r="20" spans="1:9" s="59" customFormat="1" ht="15">
      <c r="A20" s="81" t="s">
        <v>20</v>
      </c>
      <c r="B20" s="34" t="s">
        <v>21</v>
      </c>
      <c r="C20" s="85">
        <v>2.15</v>
      </c>
      <c r="D20" s="83">
        <f>D17*I20</f>
        <v>123115.45000000001</v>
      </c>
      <c r="E20" s="83">
        <f>E17*I20</f>
        <v>116210.57529013541</v>
      </c>
      <c r="F20" s="83">
        <f t="shared" si="0"/>
        <v>123115.45000000001</v>
      </c>
      <c r="G20" s="84">
        <f>D20-E20</f>
        <v>6904.874709864598</v>
      </c>
      <c r="H20" s="78">
        <f>C20</f>
        <v>2.15</v>
      </c>
      <c r="I20" s="59">
        <f>H20/H17</f>
        <v>0.2079303675048356</v>
      </c>
    </row>
    <row r="21" spans="1:9" s="59" customFormat="1" ht="15">
      <c r="A21" s="81" t="s">
        <v>22</v>
      </c>
      <c r="B21" s="34" t="s">
        <v>23</v>
      </c>
      <c r="C21" s="82">
        <v>3.04</v>
      </c>
      <c r="D21" s="83">
        <f>D17*I21</f>
        <v>174079.52000000002</v>
      </c>
      <c r="E21" s="83">
        <f>E17*I21</f>
        <v>164316.34831721472</v>
      </c>
      <c r="F21" s="83">
        <f t="shared" si="0"/>
        <v>174079.52000000002</v>
      </c>
      <c r="G21" s="84">
        <f>D21-E21</f>
        <v>9763.171682785294</v>
      </c>
      <c r="H21" s="78">
        <f>C21</f>
        <v>3.04</v>
      </c>
      <c r="I21" s="59">
        <f>H21/H17</f>
        <v>0.2940038684719536</v>
      </c>
    </row>
    <row r="22" spans="1:11" s="89" customFormat="1" ht="14.25">
      <c r="A22" s="86" t="s">
        <v>25</v>
      </c>
      <c r="B22" s="86" t="s">
        <v>462</v>
      </c>
      <c r="C22" s="46" t="s">
        <v>799</v>
      </c>
      <c r="D22" s="87">
        <v>86340</v>
      </c>
      <c r="E22" s="87">
        <v>79033.33</v>
      </c>
      <c r="F22" s="87">
        <f>D22</f>
        <v>86340</v>
      </c>
      <c r="G22" s="77">
        <f aca="true" t="shared" si="1" ref="G22:G31">D22-E22</f>
        <v>7306.669999999998</v>
      </c>
      <c r="H22" s="88"/>
      <c r="I22" s="88"/>
      <c r="J22" s="88"/>
      <c r="K22" s="88"/>
    </row>
    <row r="23" spans="1:11" s="89" customFormat="1" ht="14.25">
      <c r="A23" s="86" t="s">
        <v>27</v>
      </c>
      <c r="B23" s="86" t="s">
        <v>28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29</v>
      </c>
      <c r="B24" s="86" t="s">
        <v>30</v>
      </c>
      <c r="C24" s="46">
        <v>0</v>
      </c>
      <c r="D24" s="87">
        <v>0</v>
      </c>
      <c r="E24" s="87">
        <v>0</v>
      </c>
      <c r="F24" s="87">
        <f t="shared" si="0"/>
        <v>0</v>
      </c>
      <c r="G24" s="77">
        <f t="shared" si="1"/>
        <v>0</v>
      </c>
      <c r="H24" s="88"/>
      <c r="I24" s="88"/>
      <c r="J24" s="88"/>
      <c r="K24" s="88"/>
    </row>
    <row r="25" spans="1:11" s="89" customFormat="1" ht="14.25">
      <c r="A25" s="86" t="s">
        <v>31</v>
      </c>
      <c r="B25" s="86" t="s">
        <v>116</v>
      </c>
      <c r="C25" s="95">
        <v>2.06</v>
      </c>
      <c r="D25" s="87">
        <v>109392.96</v>
      </c>
      <c r="E25" s="87">
        <v>103652.58</v>
      </c>
      <c r="F25" s="87">
        <f>F43</f>
        <v>26871.5258</v>
      </c>
      <c r="G25" s="77">
        <f t="shared" si="1"/>
        <v>5740.380000000005</v>
      </c>
      <c r="H25" s="88"/>
      <c r="I25" s="88"/>
      <c r="J25" s="88"/>
      <c r="K25" s="88"/>
    </row>
    <row r="26" spans="1:11" ht="14.25">
      <c r="A26" s="41" t="s">
        <v>33</v>
      </c>
      <c r="B26" s="41" t="s">
        <v>161</v>
      </c>
      <c r="C26" s="97">
        <v>1902.11</v>
      </c>
      <c r="D26" s="77">
        <v>0</v>
      </c>
      <c r="E26" s="77">
        <v>0</v>
      </c>
      <c r="F26" s="87">
        <f>D26</f>
        <v>0</v>
      </c>
      <c r="G26" s="77">
        <f t="shared" si="1"/>
        <v>0</v>
      </c>
      <c r="H26" s="98"/>
      <c r="I26" s="98"/>
      <c r="J26" s="98"/>
      <c r="K26" s="98"/>
    </row>
    <row r="27" spans="1:11" ht="14.25">
      <c r="A27" s="41" t="s">
        <v>35</v>
      </c>
      <c r="B27" s="41" t="s">
        <v>36</v>
      </c>
      <c r="C27" s="97"/>
      <c r="D27" s="77">
        <f>SUM(D28:D31)</f>
        <v>1898349.91</v>
      </c>
      <c r="E27" s="77">
        <f>SUM(E28:E31)</f>
        <v>1788813.9</v>
      </c>
      <c r="F27" s="77">
        <f>SUM(F28:F31)</f>
        <v>1898349.91</v>
      </c>
      <c r="G27" s="77">
        <f t="shared" si="1"/>
        <v>109536.01000000001</v>
      </c>
      <c r="H27" s="98"/>
      <c r="I27" s="98"/>
      <c r="J27" s="98"/>
      <c r="K27" s="98"/>
    </row>
    <row r="28" spans="1:7" ht="15">
      <c r="A28" s="34" t="s">
        <v>37</v>
      </c>
      <c r="B28" s="34" t="s">
        <v>165</v>
      </c>
      <c r="C28" s="285">
        <v>6</v>
      </c>
      <c r="D28" s="84">
        <v>15851.04</v>
      </c>
      <c r="E28" s="84">
        <v>14992.88</v>
      </c>
      <c r="F28" s="84">
        <f>D28</f>
        <v>15851.04</v>
      </c>
      <c r="G28" s="84">
        <f t="shared" si="1"/>
        <v>858.1600000000017</v>
      </c>
    </row>
    <row r="29" spans="1:7" ht="15">
      <c r="A29" s="34" t="s">
        <v>39</v>
      </c>
      <c r="B29" s="34" t="s">
        <v>137</v>
      </c>
      <c r="C29" s="285">
        <v>57.08</v>
      </c>
      <c r="D29" s="84">
        <v>467608.88</v>
      </c>
      <c r="E29" s="84">
        <v>430827.43</v>
      </c>
      <c r="F29" s="84">
        <f>D29</f>
        <v>467608.88</v>
      </c>
      <c r="G29" s="84">
        <f t="shared" si="1"/>
        <v>36781.45000000001</v>
      </c>
    </row>
    <row r="30" spans="1:7" ht="24.75" customHeight="1">
      <c r="A30" s="34" t="s">
        <v>42</v>
      </c>
      <c r="B30" s="34" t="s">
        <v>340</v>
      </c>
      <c r="C30" s="286">
        <v>198.45</v>
      </c>
      <c r="D30" s="210">
        <v>33354.1</v>
      </c>
      <c r="E30" s="210">
        <v>31310.88</v>
      </c>
      <c r="F30" s="84">
        <f>D30</f>
        <v>33354.1</v>
      </c>
      <c r="G30" s="84">
        <f t="shared" si="1"/>
        <v>2043.2199999999975</v>
      </c>
    </row>
    <row r="31" spans="1:7" ht="15">
      <c r="A31" s="34" t="s">
        <v>41</v>
      </c>
      <c r="B31" s="34" t="s">
        <v>43</v>
      </c>
      <c r="C31" s="285">
        <v>2638.8</v>
      </c>
      <c r="D31" s="84">
        <v>1381535.89</v>
      </c>
      <c r="E31" s="84">
        <v>1311682.71</v>
      </c>
      <c r="F31" s="84">
        <f>D31</f>
        <v>1381535.89</v>
      </c>
      <c r="G31" s="84">
        <f t="shared" si="1"/>
        <v>69853.17999999993</v>
      </c>
    </row>
    <row r="32" spans="1:9" s="102" customFormat="1" ht="7.5" customHeight="1">
      <c r="A32" s="100"/>
      <c r="B32" s="100"/>
      <c r="C32" s="100"/>
      <c r="D32" s="101"/>
      <c r="E32" s="101"/>
      <c r="F32" s="101"/>
      <c r="G32" s="101"/>
      <c r="H32" s="101"/>
      <c r="I32" s="101"/>
    </row>
    <row r="33" spans="1:9" s="102" customFormat="1" ht="17.25" customHeight="1" thickBot="1">
      <c r="A33" s="446" t="s">
        <v>294</v>
      </c>
      <c r="B33" s="447"/>
      <c r="C33" s="447"/>
      <c r="D33" s="448"/>
      <c r="E33" s="448"/>
      <c r="F33" s="448"/>
      <c r="G33" s="101"/>
      <c r="H33" s="101"/>
      <c r="I33" s="101"/>
    </row>
    <row r="34" spans="1:9" s="67" customFormat="1" ht="15.75" thickBot="1">
      <c r="A34" s="455" t="s">
        <v>413</v>
      </c>
      <c r="B34" s="456"/>
      <c r="C34" s="456"/>
      <c r="D34" s="65">
        <v>1284572.96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11" s="67" customFormat="1" ht="15.75" thickBot="1">
      <c r="A36" s="63" t="s">
        <v>336</v>
      </c>
      <c r="B36" s="64"/>
      <c r="C36" s="64"/>
      <c r="D36" s="69"/>
      <c r="E36" s="70"/>
      <c r="F36" s="70"/>
      <c r="G36" s="144">
        <f>G14+E25-F25</f>
        <v>92938.50919999999</v>
      </c>
      <c r="H36" s="62"/>
      <c r="I36" s="62"/>
      <c r="K36" s="145"/>
    </row>
    <row r="37" spans="1:11" s="67" customFormat="1" ht="15">
      <c r="A37" s="516" t="s">
        <v>144</v>
      </c>
      <c r="B37" s="516"/>
      <c r="C37" s="68"/>
      <c r="D37" s="40"/>
      <c r="E37" s="66"/>
      <c r="F37" s="66"/>
      <c r="G37" s="40"/>
      <c r="H37" s="62"/>
      <c r="I37" s="62"/>
      <c r="K37" s="145"/>
    </row>
    <row r="38" spans="1:11" s="67" customFormat="1" ht="15">
      <c r="A38" s="620" t="s">
        <v>145</v>
      </c>
      <c r="B38" s="621"/>
      <c r="C38" s="220" t="s">
        <v>146</v>
      </c>
      <c r="D38" s="220" t="s">
        <v>147</v>
      </c>
      <c r="E38" s="153" t="s">
        <v>148</v>
      </c>
      <c r="F38" s="284" t="s">
        <v>149</v>
      </c>
      <c r="G38" s="153" t="s">
        <v>150</v>
      </c>
      <c r="H38" s="62"/>
      <c r="I38" s="62"/>
      <c r="K38" s="145"/>
    </row>
    <row r="39" spans="1:11" s="67" customFormat="1" ht="15">
      <c r="A39" s="622"/>
      <c r="B39" s="623"/>
      <c r="C39" s="294">
        <f>115.3+107.5</f>
        <v>222.8</v>
      </c>
      <c r="D39" s="153">
        <f>E39/12/C39</f>
        <v>17.31971499102334</v>
      </c>
      <c r="E39" s="234">
        <f>23963.54+22342.45</f>
        <v>46305.990000000005</v>
      </c>
      <c r="F39" s="234">
        <f>21946.92+1895.74+22342.45</f>
        <v>46185.11</v>
      </c>
      <c r="G39" s="153">
        <f>E39-F39</f>
        <v>120.88000000000466</v>
      </c>
      <c r="H39" s="62"/>
      <c r="I39" s="62"/>
      <c r="K39" s="145"/>
    </row>
    <row r="40" spans="1:11" ht="31.5" customHeight="1">
      <c r="A40" s="444" t="s">
        <v>179</v>
      </c>
      <c r="B40" s="444"/>
      <c r="C40" s="444"/>
      <c r="D40" s="444"/>
      <c r="E40" s="444"/>
      <c r="F40" s="444"/>
      <c r="G40" s="444"/>
      <c r="H40" s="444"/>
      <c r="I40" s="444"/>
      <c r="J40" s="444"/>
      <c r="K40" s="444"/>
    </row>
    <row r="42" spans="1:12" s="74" customFormat="1" ht="37.5" customHeight="1">
      <c r="A42" s="105" t="s">
        <v>11</v>
      </c>
      <c r="B42" s="471" t="s">
        <v>45</v>
      </c>
      <c r="C42" s="484"/>
      <c r="D42" s="105" t="s">
        <v>163</v>
      </c>
      <c r="E42" s="105" t="s">
        <v>162</v>
      </c>
      <c r="F42" s="471" t="s">
        <v>46</v>
      </c>
      <c r="G42" s="484"/>
      <c r="H42" s="244"/>
      <c r="I42" s="245"/>
      <c r="L42" s="108"/>
    </row>
    <row r="43" spans="1:12" s="114" customFormat="1" ht="15" customHeight="1">
      <c r="A43" s="109" t="s">
        <v>47</v>
      </c>
      <c r="B43" s="473" t="s">
        <v>111</v>
      </c>
      <c r="C43" s="491"/>
      <c r="D43" s="110"/>
      <c r="E43" s="110"/>
      <c r="F43" s="496">
        <f>SUM(F44:G48)</f>
        <v>26871.5258</v>
      </c>
      <c r="G43" s="483"/>
      <c r="H43" s="246"/>
      <c r="I43" s="247"/>
      <c r="L43" s="115"/>
    </row>
    <row r="44" spans="1:12" ht="15">
      <c r="A44" s="34" t="s">
        <v>16</v>
      </c>
      <c r="B44" s="462" t="s">
        <v>691</v>
      </c>
      <c r="C44" s="498"/>
      <c r="D44" s="337" t="s">
        <v>164</v>
      </c>
      <c r="E44" s="337">
        <v>2</v>
      </c>
      <c r="F44" s="624">
        <v>3820</v>
      </c>
      <c r="G44" s="625"/>
      <c r="H44" s="40"/>
      <c r="I44" s="40"/>
      <c r="L44" s="119"/>
    </row>
    <row r="45" spans="1:12" ht="15">
      <c r="A45" s="34" t="s">
        <v>18</v>
      </c>
      <c r="B45" s="462" t="s">
        <v>692</v>
      </c>
      <c r="C45" s="489"/>
      <c r="D45" s="337" t="s">
        <v>164</v>
      </c>
      <c r="E45" s="337">
        <v>1</v>
      </c>
      <c r="F45" s="624">
        <v>8015</v>
      </c>
      <c r="G45" s="625"/>
      <c r="H45" s="40"/>
      <c r="I45" s="40"/>
      <c r="L45" s="119"/>
    </row>
    <row r="46" spans="1:12" ht="15">
      <c r="A46" s="34" t="s">
        <v>20</v>
      </c>
      <c r="B46" s="449" t="s">
        <v>814</v>
      </c>
      <c r="C46" s="451"/>
      <c r="D46" s="118" t="s">
        <v>816</v>
      </c>
      <c r="E46" s="118">
        <v>5</v>
      </c>
      <c r="F46" s="521">
        <v>14000</v>
      </c>
      <c r="G46" s="522"/>
      <c r="H46" s="40"/>
      <c r="I46" s="40"/>
      <c r="L46" s="119"/>
    </row>
    <row r="47" spans="1:12" ht="15" customHeight="1">
      <c r="A47" s="34" t="s">
        <v>22</v>
      </c>
      <c r="B47" s="462"/>
      <c r="C47" s="489"/>
      <c r="D47" s="337"/>
      <c r="E47" s="337"/>
      <c r="F47" s="525"/>
      <c r="G47" s="526"/>
      <c r="H47" s="40"/>
      <c r="I47" s="40"/>
      <c r="L47" s="119"/>
    </row>
    <row r="48" spans="1:11" s="67" customFormat="1" ht="15">
      <c r="A48" s="34" t="s">
        <v>24</v>
      </c>
      <c r="B48" s="511" t="s">
        <v>188</v>
      </c>
      <c r="C48" s="512"/>
      <c r="D48" s="123"/>
      <c r="E48" s="123"/>
      <c r="F48" s="495">
        <f>E25*1%</f>
        <v>1036.5258000000001</v>
      </c>
      <c r="G48" s="495"/>
      <c r="H48" s="59"/>
      <c r="I48" s="59"/>
      <c r="J48" s="59"/>
      <c r="K48" s="59"/>
    </row>
    <row r="49" s="59" customFormat="1" ht="9" customHeight="1"/>
    <row r="50" spans="1:11" s="59" customFormat="1" ht="15">
      <c r="A50" s="67" t="s">
        <v>55</v>
      </c>
      <c r="B50" s="67"/>
      <c r="C50" s="125" t="s">
        <v>49</v>
      </c>
      <c r="D50" s="67"/>
      <c r="E50" s="67"/>
      <c r="F50" s="67" t="s">
        <v>90</v>
      </c>
      <c r="G50" s="67"/>
      <c r="H50" s="67"/>
      <c r="I50" s="67"/>
      <c r="J50" s="67"/>
      <c r="K50" s="67"/>
    </row>
    <row r="51" spans="1:7" s="59" customFormat="1" ht="15">
      <c r="A51" s="67"/>
      <c r="B51" s="67"/>
      <c r="C51" s="125"/>
      <c r="D51" s="67"/>
      <c r="E51" s="67"/>
      <c r="F51" s="126" t="s">
        <v>545</v>
      </c>
      <c r="G51" s="67"/>
    </row>
    <row r="52" spans="1:10" s="59" customFormat="1" ht="15">
      <c r="A52" s="67" t="s">
        <v>50</v>
      </c>
      <c r="B52" s="67"/>
      <c r="C52" s="125"/>
      <c r="D52" s="67"/>
      <c r="E52" s="67"/>
      <c r="F52" s="67"/>
      <c r="G52" s="67"/>
      <c r="H52" s="156"/>
      <c r="I52" s="156"/>
      <c r="J52" s="156"/>
    </row>
    <row r="53" spans="1:11" ht="15">
      <c r="A53" s="67"/>
      <c r="B53" s="67"/>
      <c r="C53" s="127" t="s">
        <v>51</v>
      </c>
      <c r="D53" s="67"/>
      <c r="E53" s="128"/>
      <c r="F53" s="128"/>
      <c r="G53" s="128"/>
      <c r="H53" s="59"/>
      <c r="I53" s="59"/>
      <c r="J53" s="59"/>
      <c r="K53" s="59"/>
    </row>
    <row r="54" spans="1:11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</row>
  </sheetData>
  <sheetProtection/>
  <mergeCells count="26">
    <mergeCell ref="B48:C48"/>
    <mergeCell ref="F48:G48"/>
    <mergeCell ref="B43:C43"/>
    <mergeCell ref="F43:G43"/>
    <mergeCell ref="B44:C44"/>
    <mergeCell ref="F44:G44"/>
    <mergeCell ref="B46:C46"/>
    <mergeCell ref="F46:G46"/>
    <mergeCell ref="A12:K12"/>
    <mergeCell ref="A34:C34"/>
    <mergeCell ref="A40:K40"/>
    <mergeCell ref="B42:C42"/>
    <mergeCell ref="F42:G42"/>
    <mergeCell ref="B45:C45"/>
    <mergeCell ref="F45:G45"/>
    <mergeCell ref="A33:F33"/>
    <mergeCell ref="A37:B37"/>
    <mergeCell ref="A38:B39"/>
    <mergeCell ref="B47:C47"/>
    <mergeCell ref="F47:G47"/>
    <mergeCell ref="A1:K1"/>
    <mergeCell ref="A2:K2"/>
    <mergeCell ref="A3:K3"/>
    <mergeCell ref="A5:K5"/>
    <mergeCell ref="A10:K10"/>
    <mergeCell ref="A11:K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7030A0"/>
  </sheetPr>
  <dimension ref="A1:N51"/>
  <sheetViews>
    <sheetView zoomScalePageLayoutView="0" workbookViewId="0" topLeftCell="A32">
      <selection activeCell="F44" sqref="F44:G4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8" s="59" customFormat="1" ht="16.5" customHeight="1">
      <c r="A7" s="59" t="s">
        <v>2</v>
      </c>
      <c r="F7" s="60" t="s">
        <v>202</v>
      </c>
      <c r="H7" s="60"/>
    </row>
    <row r="8" spans="1:8" s="59" customFormat="1" ht="12.75">
      <c r="A8" s="59" t="s">
        <v>3</v>
      </c>
      <c r="F8" s="301" t="s">
        <v>374</v>
      </c>
      <c r="H8" s="60"/>
    </row>
    <row r="9" spans="1:11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431</v>
      </c>
      <c r="B13" s="64"/>
      <c r="C13" s="64"/>
      <c r="D13" s="69"/>
      <c r="E13" s="70"/>
      <c r="F13" s="70"/>
      <c r="G13" s="65">
        <f>'[2]Хрустальная 70'!$G$34</f>
        <v>137566.7041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4" s="59" customFormat="1" ht="14.25">
      <c r="A16" s="75" t="s">
        <v>14</v>
      </c>
      <c r="B16" s="41" t="s">
        <v>15</v>
      </c>
      <c r="C16" s="97">
        <f>C17+C18+C19+C20</f>
        <v>10.34</v>
      </c>
      <c r="D16" s="76">
        <v>403994.78</v>
      </c>
      <c r="E16" s="76">
        <v>391698.48</v>
      </c>
      <c r="F16" s="76">
        <f aca="true" t="shared" si="0" ref="F16:F23">D16</f>
        <v>403994.78</v>
      </c>
      <c r="G16" s="77">
        <f>D16-E16</f>
        <v>12296.300000000047</v>
      </c>
      <c r="H16" s="78">
        <f>C16</f>
        <v>10.34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135185.87415860736</v>
      </c>
      <c r="E17" s="83">
        <f>E16*I17</f>
        <v>131071.25152804643</v>
      </c>
      <c r="F17" s="83">
        <f t="shared" si="0"/>
        <v>135185.87415860736</v>
      </c>
      <c r="G17" s="84">
        <f>D17-E17</f>
        <v>4114.622630560931</v>
      </c>
      <c r="H17" s="78">
        <f>C17</f>
        <v>3.46</v>
      </c>
      <c r="I17" s="59">
        <f>H17/H16</f>
        <v>0.33462282398452614</v>
      </c>
    </row>
    <row r="18" spans="1:9" s="59" customFormat="1" ht="15">
      <c r="A18" s="81" t="s">
        <v>18</v>
      </c>
      <c r="B18" s="34" t="s">
        <v>19</v>
      </c>
      <c r="C18" s="85">
        <v>1.69</v>
      </c>
      <c r="D18" s="83">
        <f>D16*I18</f>
        <v>66030.09460348163</v>
      </c>
      <c r="E18" s="83">
        <f>E16*I18</f>
        <v>64020.35117988394</v>
      </c>
      <c r="F18" s="83">
        <f t="shared" si="0"/>
        <v>66030.09460348163</v>
      </c>
      <c r="G18" s="84">
        <f>D18-E18</f>
        <v>2009.7434235976907</v>
      </c>
      <c r="H18" s="78">
        <f>C18</f>
        <v>1.69</v>
      </c>
      <c r="I18" s="59">
        <f>H18/H16</f>
        <v>0.1634429400386847</v>
      </c>
    </row>
    <row r="19" spans="1:9" s="59" customFormat="1" ht="15">
      <c r="A19" s="81" t="s">
        <v>20</v>
      </c>
      <c r="B19" s="34" t="s">
        <v>21</v>
      </c>
      <c r="C19" s="85">
        <v>2.15</v>
      </c>
      <c r="D19" s="83">
        <f>D16*I19</f>
        <v>84002.78307543522</v>
      </c>
      <c r="E19" s="83">
        <f>E16*I19</f>
        <v>81446.00889748549</v>
      </c>
      <c r="F19" s="83">
        <f t="shared" si="0"/>
        <v>84002.78307543522</v>
      </c>
      <c r="G19" s="84">
        <f>D19-E19</f>
        <v>2556.77417794973</v>
      </c>
      <c r="H19" s="78">
        <f>C19</f>
        <v>2.15</v>
      </c>
      <c r="I19" s="59">
        <f>H19/H16</f>
        <v>0.2079303675048356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118776.02816247584</v>
      </c>
      <c r="E20" s="83">
        <f>E16*I20</f>
        <v>115160.86839458413</v>
      </c>
      <c r="F20" s="83">
        <f t="shared" si="0"/>
        <v>118776.02816247584</v>
      </c>
      <c r="G20" s="84">
        <f>D20-E20</f>
        <v>3615.1597678917024</v>
      </c>
      <c r="H20" s="78">
        <f>C20</f>
        <v>3.04</v>
      </c>
      <c r="I20" s="59">
        <f>H20/H16</f>
        <v>0.2940038684719536</v>
      </c>
    </row>
    <row r="21" spans="1:11" s="89" customFormat="1" ht="14.25">
      <c r="A21" s="86" t="s">
        <v>25</v>
      </c>
      <c r="B21" s="86" t="s">
        <v>462</v>
      </c>
      <c r="C21" s="46" t="s">
        <v>798</v>
      </c>
      <c r="D21" s="87">
        <v>76050</v>
      </c>
      <c r="E21" s="87">
        <v>71670.02</v>
      </c>
      <c r="F21" s="87">
        <f>D21</f>
        <v>76050</v>
      </c>
      <c r="G21" s="77">
        <f aca="true" t="shared" si="1" ref="G21:G30">D21-E21</f>
        <v>4379.979999999996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46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2.06</v>
      </c>
      <c r="D24" s="87">
        <v>76159.44</v>
      </c>
      <c r="E24" s="87">
        <v>74018.95</v>
      </c>
      <c r="F24" s="87">
        <f>F38</f>
        <v>53580.8595</v>
      </c>
      <c r="G24" s="77">
        <f t="shared" si="1"/>
        <v>2140.4900000000052</v>
      </c>
      <c r="H24" s="88"/>
      <c r="I24" s="88"/>
      <c r="J24" s="88"/>
      <c r="K24" s="88"/>
    </row>
    <row r="25" spans="1:11" ht="14.25">
      <c r="A25" s="41" t="s">
        <v>33</v>
      </c>
      <c r="B25" s="41" t="s">
        <v>161</v>
      </c>
      <c r="C25" s="97">
        <v>12.54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2186623.55</v>
      </c>
      <c r="E26" s="77">
        <f>SUM(E27:E30)</f>
        <v>2123905</v>
      </c>
      <c r="F26" s="77">
        <f>SUM(F27:F30)</f>
        <v>2186623.55</v>
      </c>
      <c r="G26" s="77">
        <f t="shared" si="1"/>
        <v>62718.549999999814</v>
      </c>
      <c r="H26" s="98"/>
      <c r="I26" s="98"/>
      <c r="J26" s="98"/>
      <c r="K26" s="98"/>
    </row>
    <row r="27" spans="1:7" ht="15">
      <c r="A27" s="34" t="s">
        <v>37</v>
      </c>
      <c r="B27" s="34" t="s">
        <v>165</v>
      </c>
      <c r="C27" s="285">
        <v>6</v>
      </c>
      <c r="D27" s="84">
        <v>54780.99</v>
      </c>
      <c r="E27" s="84">
        <v>53247.32</v>
      </c>
      <c r="F27" s="84">
        <f>D27</f>
        <v>54780.99</v>
      </c>
      <c r="G27" s="84">
        <f t="shared" si="1"/>
        <v>1533.6699999999983</v>
      </c>
    </row>
    <row r="28" spans="1:7" ht="15">
      <c r="A28" s="34" t="s">
        <v>39</v>
      </c>
      <c r="B28" s="34" t="s">
        <v>137</v>
      </c>
      <c r="C28" s="285">
        <v>57.08</v>
      </c>
      <c r="D28" s="84">
        <v>283596.07</v>
      </c>
      <c r="E28" s="84">
        <v>274778.22</v>
      </c>
      <c r="F28" s="84">
        <f>D28</f>
        <v>283596.07</v>
      </c>
      <c r="G28" s="84">
        <f t="shared" si="1"/>
        <v>8817.850000000035</v>
      </c>
    </row>
    <row r="29" spans="1:7" ht="15">
      <c r="A29" s="34" t="s">
        <v>42</v>
      </c>
      <c r="B29" s="34" t="s">
        <v>340</v>
      </c>
      <c r="C29" s="286">
        <v>211.65</v>
      </c>
      <c r="D29" s="210">
        <v>505190.72</v>
      </c>
      <c r="E29" s="210">
        <v>491342.54</v>
      </c>
      <c r="F29" s="84">
        <f>D29</f>
        <v>505190.72</v>
      </c>
      <c r="G29" s="84">
        <f t="shared" si="1"/>
        <v>13848.179999999993</v>
      </c>
    </row>
    <row r="30" spans="1:7" ht="15">
      <c r="A30" s="34" t="s">
        <v>41</v>
      </c>
      <c r="B30" s="34" t="s">
        <v>43</v>
      </c>
      <c r="C30" s="285">
        <v>2638.8</v>
      </c>
      <c r="D30" s="84">
        <v>1343055.77</v>
      </c>
      <c r="E30" s="84">
        <v>1304536.92</v>
      </c>
      <c r="F30" s="84">
        <f>D30</f>
        <v>1343055.77</v>
      </c>
      <c r="G30" s="84">
        <f t="shared" si="1"/>
        <v>38518.85000000009</v>
      </c>
    </row>
    <row r="31" spans="1:9" s="102" customFormat="1" ht="17.25" customHeight="1" thickBot="1">
      <c r="A31" s="446" t="s">
        <v>294</v>
      </c>
      <c r="B31" s="447"/>
      <c r="C31" s="447"/>
      <c r="D31" s="448"/>
      <c r="E31" s="448"/>
      <c r="F31" s="448"/>
      <c r="G31" s="101"/>
      <c r="H31" s="101"/>
      <c r="I31" s="101"/>
    </row>
    <row r="32" spans="1:9" s="67" customFormat="1" ht="15.75" thickBot="1">
      <c r="A32" s="455" t="s">
        <v>413</v>
      </c>
      <c r="B32" s="456"/>
      <c r="C32" s="456"/>
      <c r="D32" s="65">
        <v>649296.6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1" s="67" customFormat="1" ht="15.75" thickBot="1">
      <c r="A34" s="63" t="s">
        <v>415</v>
      </c>
      <c r="B34" s="64"/>
      <c r="C34" s="64"/>
      <c r="D34" s="69"/>
      <c r="E34" s="70"/>
      <c r="F34" s="70"/>
      <c r="G34" s="144">
        <f>G13+E24-F24</f>
        <v>158004.7946</v>
      </c>
      <c r="H34" s="62"/>
      <c r="I34" s="62"/>
      <c r="K34" s="145"/>
    </row>
    <row r="35" spans="1:11" ht="31.5" customHeight="1">
      <c r="A35" s="444" t="s">
        <v>179</v>
      </c>
      <c r="B35" s="444"/>
      <c r="C35" s="444"/>
      <c r="D35" s="444"/>
      <c r="E35" s="444"/>
      <c r="F35" s="444"/>
      <c r="G35" s="444"/>
      <c r="H35" s="444"/>
      <c r="I35" s="444"/>
      <c r="J35" s="444"/>
      <c r="K35" s="444"/>
    </row>
    <row r="37" spans="1:12" s="74" customFormat="1" ht="37.5" customHeight="1">
      <c r="A37" s="105" t="s">
        <v>11</v>
      </c>
      <c r="B37" s="471" t="s">
        <v>45</v>
      </c>
      <c r="C37" s="484"/>
      <c r="D37" s="105" t="s">
        <v>163</v>
      </c>
      <c r="E37" s="105" t="s">
        <v>162</v>
      </c>
      <c r="F37" s="471" t="s">
        <v>46</v>
      </c>
      <c r="G37" s="484"/>
      <c r="H37" s="244"/>
      <c r="I37" s="245"/>
      <c r="L37" s="108"/>
    </row>
    <row r="38" spans="1:12" s="114" customFormat="1" ht="15" customHeight="1">
      <c r="A38" s="109" t="s">
        <v>47</v>
      </c>
      <c r="B38" s="473" t="s">
        <v>111</v>
      </c>
      <c r="C38" s="491"/>
      <c r="D38" s="110"/>
      <c r="E38" s="110"/>
      <c r="F38" s="496">
        <f>SUM(F39:G45)</f>
        <v>53580.8595</v>
      </c>
      <c r="G38" s="483"/>
      <c r="H38" s="246"/>
      <c r="I38" s="247"/>
      <c r="L38" s="115"/>
    </row>
    <row r="39" spans="1:12" ht="15">
      <c r="A39" s="34" t="s">
        <v>16</v>
      </c>
      <c r="B39" s="462" t="s">
        <v>743</v>
      </c>
      <c r="C39" s="489"/>
      <c r="D39" s="403" t="s">
        <v>216</v>
      </c>
      <c r="E39" s="405">
        <v>0.01</v>
      </c>
      <c r="F39" s="525">
        <v>3052.67</v>
      </c>
      <c r="G39" s="526"/>
      <c r="H39" s="248"/>
      <c r="I39" s="249"/>
      <c r="L39" s="119"/>
    </row>
    <row r="40" spans="1:12" ht="15">
      <c r="A40" s="34" t="s">
        <v>18</v>
      </c>
      <c r="B40" s="462" t="s">
        <v>693</v>
      </c>
      <c r="C40" s="489"/>
      <c r="D40" s="403" t="s">
        <v>164</v>
      </c>
      <c r="E40" s="403">
        <v>4</v>
      </c>
      <c r="F40" s="525">
        <v>2968</v>
      </c>
      <c r="G40" s="526"/>
      <c r="H40" s="40"/>
      <c r="I40" s="40"/>
      <c r="L40" s="119"/>
    </row>
    <row r="41" spans="1:12" ht="15">
      <c r="A41" s="34" t="s">
        <v>20</v>
      </c>
      <c r="B41" s="462" t="s">
        <v>687</v>
      </c>
      <c r="C41" s="498"/>
      <c r="D41" s="403"/>
      <c r="E41" s="405"/>
      <c r="F41" s="624">
        <v>3820</v>
      </c>
      <c r="G41" s="625"/>
      <c r="H41" s="40"/>
      <c r="I41" s="40"/>
      <c r="L41" s="119"/>
    </row>
    <row r="42" spans="1:12" ht="15">
      <c r="A42" s="34" t="s">
        <v>22</v>
      </c>
      <c r="B42" s="462" t="s">
        <v>609</v>
      </c>
      <c r="C42" s="489"/>
      <c r="D42" s="403"/>
      <c r="E42" s="405"/>
      <c r="F42" s="624">
        <v>13800</v>
      </c>
      <c r="G42" s="625"/>
      <c r="H42" s="40"/>
      <c r="I42" s="40"/>
      <c r="L42" s="119"/>
    </row>
    <row r="43" spans="1:12" ht="15">
      <c r="A43" s="34" t="s">
        <v>24</v>
      </c>
      <c r="B43" s="449" t="s">
        <v>814</v>
      </c>
      <c r="C43" s="451"/>
      <c r="D43" s="118" t="s">
        <v>391</v>
      </c>
      <c r="E43" s="121">
        <v>5</v>
      </c>
      <c r="F43" s="521">
        <v>14000</v>
      </c>
      <c r="G43" s="522"/>
      <c r="H43" s="40"/>
      <c r="I43" s="40"/>
      <c r="L43" s="119"/>
    </row>
    <row r="44" spans="1:12" ht="15">
      <c r="A44" s="34" t="s">
        <v>103</v>
      </c>
      <c r="B44" s="462" t="s">
        <v>828</v>
      </c>
      <c r="C44" s="489"/>
      <c r="D44" s="403"/>
      <c r="E44" s="405"/>
      <c r="F44" s="525">
        <v>15200</v>
      </c>
      <c r="G44" s="526"/>
      <c r="H44" s="40"/>
      <c r="I44" s="40"/>
      <c r="L44" s="119"/>
    </row>
    <row r="45" spans="1:11" s="67" customFormat="1" ht="15">
      <c r="A45" s="34" t="s">
        <v>104</v>
      </c>
      <c r="B45" s="511" t="s">
        <v>188</v>
      </c>
      <c r="C45" s="512"/>
      <c r="D45" s="123"/>
      <c r="E45" s="123"/>
      <c r="F45" s="495">
        <f>E24*1%</f>
        <v>740.1895</v>
      </c>
      <c r="G45" s="495"/>
      <c r="H45" s="59"/>
      <c r="I45" s="59"/>
      <c r="J45" s="59"/>
      <c r="K45" s="59"/>
    </row>
    <row r="46" s="59" customFormat="1" ht="9" customHeight="1"/>
    <row r="47" spans="1:11" s="59" customFormat="1" ht="15">
      <c r="A47" s="67" t="s">
        <v>55</v>
      </c>
      <c r="B47" s="67"/>
      <c r="C47" s="125" t="s">
        <v>49</v>
      </c>
      <c r="D47" s="67"/>
      <c r="E47" s="67"/>
      <c r="F47" s="67" t="s">
        <v>90</v>
      </c>
      <c r="G47" s="67"/>
      <c r="H47" s="67"/>
      <c r="I47" s="67"/>
      <c r="J47" s="67"/>
      <c r="K47" s="67"/>
    </row>
    <row r="48" spans="1:7" s="59" customFormat="1" ht="15">
      <c r="A48" s="67"/>
      <c r="B48" s="67"/>
      <c r="C48" s="125"/>
      <c r="D48" s="67"/>
      <c r="E48" s="67"/>
      <c r="F48" s="126" t="s">
        <v>545</v>
      </c>
      <c r="G48" s="67"/>
    </row>
    <row r="49" spans="1:10" s="59" customFormat="1" ht="15">
      <c r="A49" s="67" t="s">
        <v>50</v>
      </c>
      <c r="B49" s="67"/>
      <c r="C49" s="125"/>
      <c r="D49" s="67"/>
      <c r="E49" s="67"/>
      <c r="F49" s="67"/>
      <c r="G49" s="67"/>
      <c r="H49" s="156"/>
      <c r="I49" s="156"/>
      <c r="J49" s="156"/>
    </row>
    <row r="50" spans="1:11" ht="15">
      <c r="A50" s="67"/>
      <c r="B50" s="67"/>
      <c r="C50" s="127" t="s">
        <v>51</v>
      </c>
      <c r="D50" s="67"/>
      <c r="E50" s="128"/>
      <c r="F50" s="128"/>
      <c r="G50" s="128"/>
      <c r="H50" s="59"/>
      <c r="I50" s="59"/>
      <c r="J50" s="59"/>
      <c r="K50" s="59"/>
    </row>
    <row r="51" spans="1:11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</row>
  </sheetData>
  <sheetProtection/>
  <mergeCells count="28">
    <mergeCell ref="B41:C41"/>
    <mergeCell ref="F41:G41"/>
    <mergeCell ref="B45:C45"/>
    <mergeCell ref="F45:G45"/>
    <mergeCell ref="B42:C42"/>
    <mergeCell ref="B43:C43"/>
    <mergeCell ref="B44:C44"/>
    <mergeCell ref="F42:G42"/>
    <mergeCell ref="F43:G43"/>
    <mergeCell ref="F44:G44"/>
    <mergeCell ref="B38:C38"/>
    <mergeCell ref="F38:G38"/>
    <mergeCell ref="B39:C39"/>
    <mergeCell ref="F39:G39"/>
    <mergeCell ref="B40:C40"/>
    <mergeCell ref="F40:G40"/>
    <mergeCell ref="A1:K1"/>
    <mergeCell ref="A2:K2"/>
    <mergeCell ref="A3:K3"/>
    <mergeCell ref="A5:K5"/>
    <mergeCell ref="A9:K9"/>
    <mergeCell ref="A10:K10"/>
    <mergeCell ref="A11:K11"/>
    <mergeCell ref="A32:C32"/>
    <mergeCell ref="A35:K35"/>
    <mergeCell ref="B37:C37"/>
    <mergeCell ref="F37:G37"/>
    <mergeCell ref="A31:F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FF00"/>
  </sheetPr>
  <dimension ref="A1:N53"/>
  <sheetViews>
    <sheetView zoomScalePageLayoutView="0" workbookViewId="0" topLeftCell="A37">
      <selection activeCell="A48" sqref="A48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8" s="59" customFormat="1" ht="16.5" customHeight="1">
      <c r="A7" s="59" t="s">
        <v>2</v>
      </c>
      <c r="F7" s="60" t="s">
        <v>183</v>
      </c>
      <c r="H7" s="60"/>
    </row>
    <row r="8" spans="1:11" s="59" customFormat="1" ht="12.75">
      <c r="A8" s="59" t="s">
        <v>3</v>
      </c>
      <c r="F8" s="301" t="s">
        <v>471</v>
      </c>
      <c r="H8" s="301">
        <f>I8+J8</f>
        <v>5775.6</v>
      </c>
      <c r="I8" s="61">
        <v>1208</v>
      </c>
      <c r="J8" s="59">
        <v>4567.6</v>
      </c>
      <c r="K8" s="369"/>
    </row>
    <row r="9" spans="2:11" s="59" customFormat="1" ht="12.75">
      <c r="B9" s="59" t="s">
        <v>507</v>
      </c>
      <c r="F9" s="301" t="s">
        <v>533</v>
      </c>
      <c r="H9" s="301"/>
      <c r="I9" s="61"/>
      <c r="K9" s="369"/>
    </row>
    <row r="10" spans="1:11" s="59" customFormat="1" ht="12.7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11" s="59" customFormat="1" ht="13.5" thickBot="1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</row>
    <row r="13" spans="1:9" s="67" customFormat="1" ht="15.75" customHeight="1" thickBot="1">
      <c r="A13" s="63" t="s">
        <v>470</v>
      </c>
      <c r="B13" s="63"/>
      <c r="C13" s="64"/>
      <c r="D13" s="69"/>
      <c r="E13" s="70"/>
      <c r="F13" s="70"/>
      <c r="G13" s="261">
        <f>'[2]Хрустальная 74'!$G$35</f>
        <v>-52.68999999999755</v>
      </c>
      <c r="H13" s="62"/>
      <c r="I13" s="62"/>
    </row>
    <row r="14" spans="1:9" s="67" customFormat="1" ht="15.75" thickBot="1">
      <c r="A14" s="63" t="s">
        <v>431</v>
      </c>
      <c r="B14" s="64"/>
      <c r="C14" s="64"/>
      <c r="D14" s="69"/>
      <c r="E14" s="70"/>
      <c r="F14" s="70"/>
      <c r="G14" s="65">
        <f>'[2]Хрустальная 74'!$G$34</f>
        <v>-304877.6196</v>
      </c>
      <c r="H14" s="62"/>
      <c r="I14" s="62"/>
    </row>
    <row r="15" s="59" customFormat="1" ht="6.75" customHeight="1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</row>
    <row r="17" spans="1:14" s="59" customFormat="1" ht="14.25">
      <c r="A17" s="75" t="s">
        <v>14</v>
      </c>
      <c r="B17" s="41" t="s">
        <v>15</v>
      </c>
      <c r="C17" s="97">
        <f>C18+C19+C20+C21</f>
        <v>10.34</v>
      </c>
      <c r="D17" s="76">
        <v>794659.82</v>
      </c>
      <c r="E17" s="76">
        <v>602319.97</v>
      </c>
      <c r="F17" s="76">
        <f aca="true" t="shared" si="0" ref="F17:F24">D17</f>
        <v>794659.82</v>
      </c>
      <c r="G17" s="77">
        <f>D17-E17</f>
        <v>192339.84999999998</v>
      </c>
      <c r="H17" s="78">
        <f>C17</f>
        <v>10.34</v>
      </c>
      <c r="I17" s="79"/>
      <c r="J17" s="79"/>
      <c r="K17" s="79"/>
      <c r="M17" s="78"/>
      <c r="N17" s="80"/>
    </row>
    <row r="18" spans="1:9" s="59" customFormat="1" ht="15">
      <c r="A18" s="81" t="s">
        <v>16</v>
      </c>
      <c r="B18" s="34" t="s">
        <v>17</v>
      </c>
      <c r="C18" s="82">
        <v>3.46</v>
      </c>
      <c r="D18" s="83">
        <f>D17*I18</f>
        <v>265911.31307543523</v>
      </c>
      <c r="E18" s="83">
        <f>E17*I18</f>
        <v>201550.00930367506</v>
      </c>
      <c r="F18" s="83">
        <f t="shared" si="0"/>
        <v>265911.31307543523</v>
      </c>
      <c r="G18" s="84">
        <f>D18-E18</f>
        <v>64361.30377176017</v>
      </c>
      <c r="H18" s="78">
        <f>C18</f>
        <v>3.46</v>
      </c>
      <c r="I18" s="59">
        <f>H18/H17</f>
        <v>0.33462282398452614</v>
      </c>
    </row>
    <row r="19" spans="1:9" s="59" customFormat="1" ht="15">
      <c r="A19" s="81" t="s">
        <v>18</v>
      </c>
      <c r="B19" s="34" t="s">
        <v>19</v>
      </c>
      <c r="C19" s="85">
        <v>1.69</v>
      </c>
      <c r="D19" s="83">
        <f>D17*I19</f>
        <v>129881.53731141197</v>
      </c>
      <c r="E19" s="83">
        <f>E17*I19</f>
        <v>98444.94674081236</v>
      </c>
      <c r="F19" s="83">
        <f t="shared" si="0"/>
        <v>129881.53731141197</v>
      </c>
      <c r="G19" s="84">
        <f>D19-E19</f>
        <v>31436.590570599612</v>
      </c>
      <c r="H19" s="78">
        <f>C19</f>
        <v>1.69</v>
      </c>
      <c r="I19" s="59">
        <f>H19/H17</f>
        <v>0.1634429400386847</v>
      </c>
    </row>
    <row r="20" spans="1:9" s="59" customFormat="1" ht="15">
      <c r="A20" s="81" t="s">
        <v>20</v>
      </c>
      <c r="B20" s="34" t="s">
        <v>21</v>
      </c>
      <c r="C20" s="85">
        <v>2.15</v>
      </c>
      <c r="D20" s="83">
        <f>D17*I20</f>
        <v>165233.9084139265</v>
      </c>
      <c r="E20" s="83">
        <f>E17*I20</f>
        <v>125240.61271760154</v>
      </c>
      <c r="F20" s="83">
        <f t="shared" si="0"/>
        <v>165233.9084139265</v>
      </c>
      <c r="G20" s="84">
        <f>D20-E20</f>
        <v>39993.295696324945</v>
      </c>
      <c r="H20" s="78">
        <f>C20</f>
        <v>2.15</v>
      </c>
      <c r="I20" s="59">
        <f>H20/H17</f>
        <v>0.2079303675048356</v>
      </c>
    </row>
    <row r="21" spans="1:9" s="59" customFormat="1" ht="15">
      <c r="A21" s="81" t="s">
        <v>22</v>
      </c>
      <c r="B21" s="34" t="s">
        <v>23</v>
      </c>
      <c r="C21" s="82">
        <v>3.04</v>
      </c>
      <c r="D21" s="83">
        <f>D17*I21</f>
        <v>233633.0611992263</v>
      </c>
      <c r="E21" s="83">
        <f>E17*I21</f>
        <v>177084.40123791102</v>
      </c>
      <c r="F21" s="83">
        <f t="shared" si="0"/>
        <v>233633.0611992263</v>
      </c>
      <c r="G21" s="84">
        <f>D21-E21</f>
        <v>56548.65996131528</v>
      </c>
      <c r="H21" s="78">
        <f>C21</f>
        <v>3.04</v>
      </c>
      <c r="I21" s="59">
        <f>H21/H17</f>
        <v>0.2940038684719536</v>
      </c>
    </row>
    <row r="22" spans="1:11" s="89" customFormat="1" ht="14.25">
      <c r="A22" s="86" t="s">
        <v>25</v>
      </c>
      <c r="B22" s="86" t="s">
        <v>292</v>
      </c>
      <c r="C22" s="46">
        <v>0</v>
      </c>
      <c r="D22" s="87">
        <v>0</v>
      </c>
      <c r="E22" s="87">
        <v>564.82</v>
      </c>
      <c r="F22" s="87">
        <v>0</v>
      </c>
      <c r="G22" s="77">
        <f aca="true" t="shared" si="1" ref="G22:G31">D22-E22</f>
        <v>-564.82</v>
      </c>
      <c r="H22" s="88"/>
      <c r="I22" s="88"/>
      <c r="J22" s="88"/>
      <c r="K22" s="88"/>
    </row>
    <row r="23" spans="1:11" s="89" customFormat="1" ht="14.25">
      <c r="A23" s="86" t="s">
        <v>27</v>
      </c>
      <c r="B23" s="86" t="s">
        <v>28</v>
      </c>
      <c r="C23" s="46">
        <v>0</v>
      </c>
      <c r="D23" s="87">
        <v>0</v>
      </c>
      <c r="E23" s="87"/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29</v>
      </c>
      <c r="B24" s="86" t="s">
        <v>462</v>
      </c>
      <c r="C24" s="46" t="s">
        <v>801</v>
      </c>
      <c r="D24" s="87">
        <v>92400</v>
      </c>
      <c r="E24" s="87">
        <v>92182.76</v>
      </c>
      <c r="F24" s="87">
        <f t="shared" si="0"/>
        <v>92400</v>
      </c>
      <c r="G24" s="77">
        <f t="shared" si="1"/>
        <v>217.24000000000524</v>
      </c>
      <c r="H24" s="88"/>
      <c r="I24" s="88"/>
      <c r="J24" s="88"/>
      <c r="K24" s="88"/>
    </row>
    <row r="25" spans="1:11" s="89" customFormat="1" ht="14.25">
      <c r="A25" s="86" t="s">
        <v>31</v>
      </c>
      <c r="B25" s="86" t="s">
        <v>116</v>
      </c>
      <c r="C25" s="95">
        <v>2.06</v>
      </c>
      <c r="D25" s="87">
        <v>150238.05</v>
      </c>
      <c r="E25" s="87">
        <v>115302.4</v>
      </c>
      <c r="F25" s="87">
        <f>F40</f>
        <v>215865.234</v>
      </c>
      <c r="G25" s="77">
        <f t="shared" si="1"/>
        <v>34935.649999999994</v>
      </c>
      <c r="H25" s="88"/>
      <c r="I25" s="88"/>
      <c r="J25" s="88"/>
      <c r="K25" s="88"/>
    </row>
    <row r="26" spans="1:11" ht="14.25">
      <c r="A26" s="41" t="s">
        <v>33</v>
      </c>
      <c r="B26" s="41" t="s">
        <v>161</v>
      </c>
      <c r="C26" s="97" t="s">
        <v>297</v>
      </c>
      <c r="D26" s="90">
        <v>0</v>
      </c>
      <c r="E26" s="90">
        <v>0</v>
      </c>
      <c r="F26" s="90">
        <f>D26</f>
        <v>0</v>
      </c>
      <c r="G26" s="77">
        <f t="shared" si="1"/>
        <v>0</v>
      </c>
      <c r="H26" s="98"/>
      <c r="I26" s="98"/>
      <c r="J26" s="98"/>
      <c r="K26" s="98"/>
    </row>
    <row r="27" spans="1:11" ht="14.25">
      <c r="A27" s="41" t="s">
        <v>35</v>
      </c>
      <c r="B27" s="41" t="s">
        <v>36</v>
      </c>
      <c r="C27" s="97"/>
      <c r="D27" s="77">
        <f>SUM(D28:D31)</f>
        <v>2731530.8600000003</v>
      </c>
      <c r="E27" s="77">
        <f>SUM(E28:E31)</f>
        <v>2660117.38</v>
      </c>
      <c r="F27" s="77">
        <f>SUM(F28:F31)</f>
        <v>2731530.8600000003</v>
      </c>
      <c r="G27" s="77">
        <f t="shared" si="1"/>
        <v>71413.48000000045</v>
      </c>
      <c r="H27" s="98"/>
      <c r="I27" s="98"/>
      <c r="J27" s="98"/>
      <c r="K27" s="98"/>
    </row>
    <row r="28" spans="1:7" ht="15">
      <c r="A28" s="34" t="s">
        <v>37</v>
      </c>
      <c r="B28" s="34" t="s">
        <v>165</v>
      </c>
      <c r="C28" s="285">
        <v>6</v>
      </c>
      <c r="D28" s="84">
        <v>128109.01</v>
      </c>
      <c r="E28" s="84">
        <v>91780.11</v>
      </c>
      <c r="F28" s="84">
        <f>D28</f>
        <v>128109.01</v>
      </c>
      <c r="G28" s="84">
        <f t="shared" si="1"/>
        <v>36328.899999999994</v>
      </c>
    </row>
    <row r="29" spans="1:7" ht="15">
      <c r="A29" s="34" t="s">
        <v>39</v>
      </c>
      <c r="B29" s="34" t="s">
        <v>137</v>
      </c>
      <c r="C29" s="285">
        <v>57.08</v>
      </c>
      <c r="D29" s="84">
        <v>436809.55</v>
      </c>
      <c r="E29" s="84">
        <v>422610.41</v>
      </c>
      <c r="F29" s="84">
        <f>D29</f>
        <v>436809.55</v>
      </c>
      <c r="G29" s="84">
        <f t="shared" si="1"/>
        <v>14199.140000000014</v>
      </c>
    </row>
    <row r="30" spans="1:7" ht="15">
      <c r="A30" s="34" t="s">
        <v>42</v>
      </c>
      <c r="B30" s="34" t="s">
        <v>340</v>
      </c>
      <c r="C30" s="286">
        <v>211.65</v>
      </c>
      <c r="D30" s="84">
        <v>786401.23</v>
      </c>
      <c r="E30" s="84">
        <v>769675.23</v>
      </c>
      <c r="F30" s="84">
        <f>D30</f>
        <v>786401.23</v>
      </c>
      <c r="G30" s="84">
        <f t="shared" si="1"/>
        <v>16726</v>
      </c>
    </row>
    <row r="31" spans="1:7" ht="15">
      <c r="A31" s="34" t="s">
        <v>41</v>
      </c>
      <c r="B31" s="34" t="s">
        <v>43</v>
      </c>
      <c r="C31" s="285">
        <v>2638.8</v>
      </c>
      <c r="D31" s="84">
        <v>1380211.07</v>
      </c>
      <c r="E31" s="84">
        <v>1376051.63</v>
      </c>
      <c r="F31" s="84">
        <f>D31</f>
        <v>1380211.07</v>
      </c>
      <c r="G31" s="84">
        <f t="shared" si="1"/>
        <v>4159.440000000177</v>
      </c>
    </row>
    <row r="32" spans="1:9" s="102" customFormat="1" ht="21" customHeight="1" thickBot="1">
      <c r="A32" s="446" t="s">
        <v>294</v>
      </c>
      <c r="B32" s="447"/>
      <c r="C32" s="447"/>
      <c r="D32" s="448"/>
      <c r="E32" s="448"/>
      <c r="F32" s="448"/>
      <c r="G32" s="101"/>
      <c r="H32" s="101"/>
      <c r="I32" s="101"/>
    </row>
    <row r="33" spans="1:9" s="67" customFormat="1" ht="15.75" thickBot="1">
      <c r="A33" s="455" t="s">
        <v>413</v>
      </c>
      <c r="B33" s="456"/>
      <c r="C33" s="456"/>
      <c r="D33" s="65">
        <v>1021899.31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415</v>
      </c>
      <c r="B35" s="64"/>
      <c r="C35" s="64"/>
      <c r="D35" s="69"/>
      <c r="E35" s="70"/>
      <c r="F35" s="70"/>
      <c r="G35" s="144">
        <f>G14+E25-F25</f>
        <v>-405440.4536</v>
      </c>
      <c r="H35" s="62"/>
      <c r="I35" s="62"/>
    </row>
    <row r="36" spans="1:11" s="102" customFormat="1" ht="14.25" thickBot="1">
      <c r="A36" s="63" t="s">
        <v>472</v>
      </c>
      <c r="B36" s="64"/>
      <c r="C36" s="64"/>
      <c r="D36" s="69"/>
      <c r="E36" s="70"/>
      <c r="F36" s="70"/>
      <c r="G36" s="144">
        <f>G13+E22-F22</f>
        <v>512.1300000000025</v>
      </c>
      <c r="H36" s="101"/>
      <c r="I36" s="101"/>
      <c r="J36" s="101"/>
      <c r="K36" s="101"/>
    </row>
    <row r="37" spans="1:11" ht="31.5" customHeight="1">
      <c r="A37" s="444" t="s">
        <v>179</v>
      </c>
      <c r="B37" s="444"/>
      <c r="C37" s="444"/>
      <c r="D37" s="444"/>
      <c r="E37" s="444"/>
      <c r="F37" s="444"/>
      <c r="G37" s="444"/>
      <c r="H37" s="444"/>
      <c r="I37" s="444"/>
      <c r="J37" s="444"/>
      <c r="K37" s="444"/>
    </row>
    <row r="39" spans="1:12" s="74" customFormat="1" ht="37.5" customHeight="1">
      <c r="A39" s="105" t="s">
        <v>11</v>
      </c>
      <c r="B39" s="471" t="s">
        <v>45</v>
      </c>
      <c r="C39" s="484"/>
      <c r="D39" s="105" t="s">
        <v>163</v>
      </c>
      <c r="E39" s="105" t="s">
        <v>162</v>
      </c>
      <c r="F39" s="471" t="s">
        <v>46</v>
      </c>
      <c r="G39" s="484"/>
      <c r="H39" s="244"/>
      <c r="I39" s="245"/>
      <c r="L39" s="108"/>
    </row>
    <row r="40" spans="1:12" s="114" customFormat="1" ht="15" customHeight="1">
      <c r="A40" s="109" t="s">
        <v>47</v>
      </c>
      <c r="B40" s="473" t="s">
        <v>111</v>
      </c>
      <c r="C40" s="491"/>
      <c r="D40" s="110"/>
      <c r="E40" s="110"/>
      <c r="F40" s="496">
        <f>SUM(F41:G47)</f>
        <v>215865.234</v>
      </c>
      <c r="G40" s="483"/>
      <c r="H40" s="246"/>
      <c r="I40" s="247"/>
      <c r="L40" s="115"/>
    </row>
    <row r="41" spans="1:12" ht="15">
      <c r="A41" s="34" t="s">
        <v>16</v>
      </c>
      <c r="B41" s="462" t="s">
        <v>694</v>
      </c>
      <c r="C41" s="489"/>
      <c r="D41" s="403" t="s">
        <v>217</v>
      </c>
      <c r="E41" s="408">
        <v>0.01</v>
      </c>
      <c r="F41" s="525">
        <v>1048.37</v>
      </c>
      <c r="G41" s="526"/>
      <c r="H41" s="248"/>
      <c r="I41" s="249"/>
      <c r="L41" s="119"/>
    </row>
    <row r="42" spans="1:12" ht="15">
      <c r="A42" s="34" t="s">
        <v>18</v>
      </c>
      <c r="B42" s="462" t="s">
        <v>695</v>
      </c>
      <c r="C42" s="489"/>
      <c r="D42" s="403" t="s">
        <v>227</v>
      </c>
      <c r="E42" s="408">
        <v>1.9</v>
      </c>
      <c r="F42" s="525">
        <v>146803.84</v>
      </c>
      <c r="G42" s="526"/>
      <c r="H42" s="40"/>
      <c r="I42" s="40"/>
      <c r="L42" s="119"/>
    </row>
    <row r="43" spans="1:12" ht="15">
      <c r="A43" s="34" t="s">
        <v>20</v>
      </c>
      <c r="B43" s="462" t="s">
        <v>539</v>
      </c>
      <c r="C43" s="489"/>
      <c r="D43" s="403" t="s">
        <v>164</v>
      </c>
      <c r="E43" s="408">
        <v>2</v>
      </c>
      <c r="F43" s="525">
        <v>9940</v>
      </c>
      <c r="G43" s="526"/>
      <c r="H43" s="40"/>
      <c r="I43" s="40"/>
      <c r="L43" s="119"/>
    </row>
    <row r="44" spans="1:12" ht="15">
      <c r="A44" s="34" t="s">
        <v>22</v>
      </c>
      <c r="B44" s="462" t="s">
        <v>538</v>
      </c>
      <c r="C44" s="489"/>
      <c r="D44" s="403" t="s">
        <v>164</v>
      </c>
      <c r="E44" s="405">
        <v>1</v>
      </c>
      <c r="F44" s="624">
        <v>37020</v>
      </c>
      <c r="G44" s="625"/>
      <c r="H44" s="40"/>
      <c r="I44" s="40"/>
      <c r="L44" s="119"/>
    </row>
    <row r="45" spans="1:12" ht="15">
      <c r="A45" s="34" t="s">
        <v>24</v>
      </c>
      <c r="B45" s="462" t="s">
        <v>696</v>
      </c>
      <c r="C45" s="489"/>
      <c r="D45" s="403" t="s">
        <v>164</v>
      </c>
      <c r="E45" s="403">
        <v>19</v>
      </c>
      <c r="F45" s="525">
        <v>3100</v>
      </c>
      <c r="G45" s="526"/>
      <c r="H45" s="40"/>
      <c r="I45" s="40"/>
      <c r="L45" s="119"/>
    </row>
    <row r="46" spans="1:12" ht="15">
      <c r="A46" s="34" t="s">
        <v>103</v>
      </c>
      <c r="B46" s="449" t="s">
        <v>814</v>
      </c>
      <c r="C46" s="451"/>
      <c r="D46" s="118" t="s">
        <v>391</v>
      </c>
      <c r="E46" s="118">
        <v>6</v>
      </c>
      <c r="F46" s="521">
        <v>16800</v>
      </c>
      <c r="G46" s="522"/>
      <c r="H46" s="40"/>
      <c r="I46" s="40"/>
      <c r="L46" s="119"/>
    </row>
    <row r="47" spans="1:11" s="67" customFormat="1" ht="15">
      <c r="A47" s="34" t="s">
        <v>104</v>
      </c>
      <c r="B47" s="511" t="s">
        <v>188</v>
      </c>
      <c r="C47" s="512"/>
      <c r="D47" s="123"/>
      <c r="E47" s="123"/>
      <c r="F47" s="495">
        <f>E25*1%</f>
        <v>1153.024</v>
      </c>
      <c r="G47" s="495"/>
      <c r="H47" s="59"/>
      <c r="I47" s="59"/>
      <c r="J47" s="59"/>
      <c r="K47" s="59"/>
    </row>
    <row r="48" s="59" customFormat="1" ht="9" customHeight="1"/>
    <row r="49" spans="1:11" s="59" customFormat="1" ht="15">
      <c r="A49" s="67" t="s">
        <v>55</v>
      </c>
      <c r="B49" s="67"/>
      <c r="C49" s="125" t="s">
        <v>49</v>
      </c>
      <c r="D49" s="67"/>
      <c r="E49" s="67"/>
      <c r="F49" s="67" t="s">
        <v>90</v>
      </c>
      <c r="G49" s="67"/>
      <c r="H49" s="67"/>
      <c r="I49" s="67"/>
      <c r="J49" s="67"/>
      <c r="K49" s="67"/>
    </row>
    <row r="50" spans="1:7" s="59" customFormat="1" ht="15">
      <c r="A50" s="67"/>
      <c r="B50" s="67"/>
      <c r="C50" s="125"/>
      <c r="D50" s="67"/>
      <c r="E50" s="67"/>
      <c r="F50" s="126" t="s">
        <v>545</v>
      </c>
      <c r="G50" s="67"/>
    </row>
    <row r="51" spans="1:10" s="59" customFormat="1" ht="15">
      <c r="A51" s="67" t="s">
        <v>50</v>
      </c>
      <c r="B51" s="67"/>
      <c r="C51" s="125"/>
      <c r="D51" s="67"/>
      <c r="E51" s="67"/>
      <c r="F51" s="67"/>
      <c r="G51" s="67"/>
      <c r="H51" s="156"/>
      <c r="I51" s="156"/>
      <c r="J51" s="156"/>
    </row>
    <row r="52" spans="1:11" ht="15">
      <c r="A52" s="67"/>
      <c r="B52" s="67"/>
      <c r="C52" s="127" t="s">
        <v>51</v>
      </c>
      <c r="D52" s="67"/>
      <c r="E52" s="128"/>
      <c r="F52" s="128"/>
      <c r="G52" s="128"/>
      <c r="H52" s="59"/>
      <c r="I52" s="59"/>
      <c r="J52" s="59"/>
      <c r="K52" s="59"/>
    </row>
    <row r="53" spans="1:11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</row>
  </sheetData>
  <sheetProtection/>
  <mergeCells count="28">
    <mergeCell ref="B46:C46"/>
    <mergeCell ref="F46:G46"/>
    <mergeCell ref="F45:G45"/>
    <mergeCell ref="F42:G42"/>
    <mergeCell ref="F43:G43"/>
    <mergeCell ref="B42:C42"/>
    <mergeCell ref="B43:C43"/>
    <mergeCell ref="B45:C45"/>
    <mergeCell ref="A37:K37"/>
    <mergeCell ref="A32:F32"/>
    <mergeCell ref="A12:K12"/>
    <mergeCell ref="B39:C39"/>
    <mergeCell ref="B47:C47"/>
    <mergeCell ref="F47:G47"/>
    <mergeCell ref="B41:C41"/>
    <mergeCell ref="F40:G40"/>
    <mergeCell ref="F44:G44"/>
    <mergeCell ref="F41:G41"/>
    <mergeCell ref="A11:K11"/>
    <mergeCell ref="B44:C44"/>
    <mergeCell ref="A1:K1"/>
    <mergeCell ref="A2:K2"/>
    <mergeCell ref="A3:K3"/>
    <mergeCell ref="A5:K5"/>
    <mergeCell ref="A10:K10"/>
    <mergeCell ref="B40:C40"/>
    <mergeCell ref="F39:G39"/>
    <mergeCell ref="A33:C3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7030A0"/>
  </sheetPr>
  <dimension ref="A1:T64"/>
  <sheetViews>
    <sheetView zoomScalePageLayoutView="0" workbookViewId="0" topLeftCell="A44">
      <selection activeCell="A57" sqref="A57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5" width="13.8515625" style="57" customWidth="1"/>
    <col min="6" max="6" width="14.71093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12.00390625" style="57" bestFit="1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8" s="59" customFormat="1" ht="16.5" customHeight="1">
      <c r="A7" s="59" t="s">
        <v>2</v>
      </c>
      <c r="F7" s="60" t="s">
        <v>184</v>
      </c>
      <c r="H7" s="60"/>
    </row>
    <row r="8" spans="1:10" s="59" customFormat="1" ht="12.75">
      <c r="A8" s="59" t="s">
        <v>3</v>
      </c>
      <c r="F8" s="301" t="s">
        <v>375</v>
      </c>
      <c r="H8" s="60">
        <f>57.3+130+80.9+58.3</f>
        <v>326.50000000000006</v>
      </c>
      <c r="I8" s="251">
        <v>15100.3</v>
      </c>
      <c r="J8" s="304">
        <f>H8+I8</f>
        <v>15426.8</v>
      </c>
    </row>
    <row r="9" spans="2:10" s="59" customFormat="1" ht="12.75">
      <c r="B9" s="59" t="s">
        <v>507</v>
      </c>
      <c r="F9" s="301" t="s">
        <v>697</v>
      </c>
      <c r="H9" s="60"/>
      <c r="I9" s="251"/>
      <c r="J9" s="304"/>
    </row>
    <row r="10" spans="1:11" s="59" customFormat="1" ht="12.7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11" s="59" customFormat="1" ht="12.7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431</v>
      </c>
      <c r="B14" s="64"/>
      <c r="C14" s="64"/>
      <c r="D14" s="69"/>
      <c r="E14" s="70"/>
      <c r="F14" s="70"/>
      <c r="G14" s="65">
        <f>'[2]Молодежная 46'!$G$35</f>
        <v>219462.71670000034</v>
      </c>
      <c r="H14" s="62"/>
      <c r="I14" s="62"/>
    </row>
    <row r="15" s="59" customFormat="1" ht="6.75" customHeight="1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</row>
    <row r="17" spans="1:14" s="59" customFormat="1" ht="14.25">
      <c r="A17" s="75" t="s">
        <v>14</v>
      </c>
      <c r="B17" s="41" t="s">
        <v>15</v>
      </c>
      <c r="C17" s="46">
        <f>C18+C19+C20+C21+C22</f>
        <v>11.06</v>
      </c>
      <c r="D17" s="76">
        <v>2072377.56</v>
      </c>
      <c r="E17" s="76">
        <v>2087537.46</v>
      </c>
      <c r="F17" s="76">
        <f>SUM(F18:F22)</f>
        <v>2068766.7595660035</v>
      </c>
      <c r="G17" s="77">
        <f aca="true" t="shared" si="0" ref="G17:G22">D17-E17</f>
        <v>-15159.899999999907</v>
      </c>
      <c r="H17" s="78">
        <f aca="true" t="shared" si="1" ref="H17:H22">C17</f>
        <v>11.06</v>
      </c>
      <c r="I17" s="79"/>
      <c r="J17" s="79"/>
      <c r="K17" s="79"/>
      <c r="M17" s="78"/>
      <c r="N17" s="80"/>
    </row>
    <row r="18" spans="1:9" s="59" customFormat="1" ht="15">
      <c r="A18" s="81" t="s">
        <v>16</v>
      </c>
      <c r="B18" s="34" t="s">
        <v>17</v>
      </c>
      <c r="C18" s="82">
        <v>3.46</v>
      </c>
      <c r="D18" s="83">
        <f>D17*I18</f>
        <v>648320.6471609403</v>
      </c>
      <c r="E18" s="83">
        <f>E17*I18</f>
        <v>653063.2560216998</v>
      </c>
      <c r="F18" s="83">
        <f aca="true" t="shared" si="2" ref="F18:F24">D18</f>
        <v>648320.6471609403</v>
      </c>
      <c r="G18" s="84">
        <f t="shared" si="0"/>
        <v>-4742.608860759414</v>
      </c>
      <c r="H18" s="78">
        <f t="shared" si="1"/>
        <v>3.46</v>
      </c>
      <c r="I18" s="59">
        <f>H18/H17</f>
        <v>0.3128390596745027</v>
      </c>
    </row>
    <row r="19" spans="1:9" s="59" customFormat="1" ht="15">
      <c r="A19" s="81" t="s">
        <v>18</v>
      </c>
      <c r="B19" s="34" t="s">
        <v>19</v>
      </c>
      <c r="C19" s="85">
        <v>1.69</v>
      </c>
      <c r="D19" s="83">
        <f>D17*I19</f>
        <v>316665.2871971067</v>
      </c>
      <c r="E19" s="83">
        <f>E17*I19</f>
        <v>318981.76377938513</v>
      </c>
      <c r="F19" s="83">
        <f t="shared" si="2"/>
        <v>316665.2871971067</v>
      </c>
      <c r="G19" s="84">
        <f t="shared" si="0"/>
        <v>-2316.4765822784393</v>
      </c>
      <c r="H19" s="78">
        <f t="shared" si="1"/>
        <v>1.69</v>
      </c>
      <c r="I19" s="59">
        <f>H19/H17</f>
        <v>0.15280289330922242</v>
      </c>
    </row>
    <row r="20" spans="1:9" s="59" customFormat="1" ht="15">
      <c r="A20" s="81" t="s">
        <v>20</v>
      </c>
      <c r="B20" s="34" t="s">
        <v>21</v>
      </c>
      <c r="C20" s="85">
        <v>1.99</v>
      </c>
      <c r="D20" s="83">
        <f>D17*I20</f>
        <v>372878.0600723327</v>
      </c>
      <c r="E20" s="83">
        <f>E17*I20</f>
        <v>375605.7455153707</v>
      </c>
      <c r="F20" s="83">
        <f t="shared" si="2"/>
        <v>372878.0600723327</v>
      </c>
      <c r="G20" s="84">
        <f t="shared" si="0"/>
        <v>-2727.6854430380045</v>
      </c>
      <c r="H20" s="78">
        <f t="shared" si="1"/>
        <v>1.99</v>
      </c>
      <c r="I20" s="59">
        <f>H20/H17</f>
        <v>0.1799276672694394</v>
      </c>
    </row>
    <row r="21" spans="1:9" s="59" customFormat="1" ht="15">
      <c r="A21" s="81" t="s">
        <v>22</v>
      </c>
      <c r="B21" s="34" t="s">
        <v>23</v>
      </c>
      <c r="C21" s="82">
        <v>3.04</v>
      </c>
      <c r="D21" s="83">
        <f>D17*I21</f>
        <v>569622.7651356239</v>
      </c>
      <c r="E21" s="83">
        <f>E17*I21</f>
        <v>573789.6815913201</v>
      </c>
      <c r="F21" s="83">
        <f t="shared" si="2"/>
        <v>569622.7651356239</v>
      </c>
      <c r="G21" s="84">
        <f t="shared" si="0"/>
        <v>-4166.9164556962205</v>
      </c>
      <c r="H21" s="78">
        <f t="shared" si="1"/>
        <v>3.04</v>
      </c>
      <c r="I21" s="59">
        <f>H21/H17</f>
        <v>0.27486437613019893</v>
      </c>
    </row>
    <row r="22" spans="1:9" s="59" customFormat="1" ht="15">
      <c r="A22" s="81" t="s">
        <v>24</v>
      </c>
      <c r="B22" s="34" t="s">
        <v>185</v>
      </c>
      <c r="C22" s="82">
        <v>0.88</v>
      </c>
      <c r="D22" s="83">
        <f>D17*I22</f>
        <v>164890.8004339964</v>
      </c>
      <c r="E22" s="83">
        <f>E17*I22</f>
        <v>166097.01309222422</v>
      </c>
      <c r="F22" s="238">
        <f>F57</f>
        <v>161280</v>
      </c>
      <c r="G22" s="84">
        <f t="shared" si="0"/>
        <v>-1206.2126582278288</v>
      </c>
      <c r="H22" s="78">
        <f t="shared" si="1"/>
        <v>0.88</v>
      </c>
      <c r="I22" s="59">
        <f>H22/H17</f>
        <v>0.07956600361663653</v>
      </c>
    </row>
    <row r="23" spans="1:11" s="89" customFormat="1" ht="14.25">
      <c r="A23" s="86" t="s">
        <v>25</v>
      </c>
      <c r="B23" s="86" t="s">
        <v>26</v>
      </c>
      <c r="C23" s="46">
        <v>3.86</v>
      </c>
      <c r="D23" s="87">
        <v>709215.16</v>
      </c>
      <c r="E23" s="87">
        <v>700549.46</v>
      </c>
      <c r="F23" s="87">
        <f t="shared" si="2"/>
        <v>709215.16</v>
      </c>
      <c r="G23" s="77">
        <f aca="true" t="shared" si="3" ref="G23:G32">D23-E23</f>
        <v>8665.70000000007</v>
      </c>
      <c r="H23" s="88"/>
      <c r="I23" s="88"/>
      <c r="J23" s="88"/>
      <c r="K23" s="88"/>
    </row>
    <row r="24" spans="1:11" s="89" customFormat="1" ht="14.25">
      <c r="A24" s="86" t="s">
        <v>27</v>
      </c>
      <c r="B24" s="86" t="s">
        <v>28</v>
      </c>
      <c r="C24" s="46">
        <v>0</v>
      </c>
      <c r="D24" s="87">
        <v>0</v>
      </c>
      <c r="E24" s="87">
        <v>0</v>
      </c>
      <c r="F24" s="87">
        <f t="shared" si="2"/>
        <v>0</v>
      </c>
      <c r="G24" s="77">
        <f t="shared" si="3"/>
        <v>0</v>
      </c>
      <c r="H24" s="88"/>
      <c r="I24" s="88"/>
      <c r="J24" s="88"/>
      <c r="K24" s="88"/>
    </row>
    <row r="25" spans="1:11" s="89" customFormat="1" ht="28.5">
      <c r="A25" s="86" t="s">
        <v>29</v>
      </c>
      <c r="B25" s="86" t="s">
        <v>291</v>
      </c>
      <c r="C25" s="46" t="s">
        <v>803</v>
      </c>
      <c r="D25" s="87">
        <v>367200</v>
      </c>
      <c r="E25" s="87">
        <v>363716.71</v>
      </c>
      <c r="F25" s="87">
        <f>D25</f>
        <v>367200</v>
      </c>
      <c r="G25" s="77">
        <f t="shared" si="3"/>
        <v>3483.289999999979</v>
      </c>
      <c r="H25" s="88"/>
      <c r="I25" s="88"/>
      <c r="J25" s="88"/>
      <c r="K25" s="88"/>
    </row>
    <row r="26" spans="1:11" s="89" customFormat="1" ht="14.25">
      <c r="A26" s="86" t="s">
        <v>31</v>
      </c>
      <c r="B26" s="86" t="s">
        <v>116</v>
      </c>
      <c r="C26" s="95">
        <v>2.06</v>
      </c>
      <c r="D26" s="87">
        <v>381350.92</v>
      </c>
      <c r="E26" s="87">
        <v>376769.1</v>
      </c>
      <c r="F26" s="87">
        <f>F41</f>
        <v>612865.4909999999</v>
      </c>
      <c r="G26" s="77">
        <f t="shared" si="3"/>
        <v>4581.820000000007</v>
      </c>
      <c r="H26" s="88"/>
      <c r="I26" s="88"/>
      <c r="J26" s="88"/>
      <c r="K26" s="262"/>
    </row>
    <row r="27" spans="1:12" ht="14.25">
      <c r="A27" s="41" t="s">
        <v>33</v>
      </c>
      <c r="B27" s="41" t="s">
        <v>161</v>
      </c>
      <c r="C27" s="97" t="s">
        <v>297</v>
      </c>
      <c r="D27" s="77">
        <v>0</v>
      </c>
      <c r="E27" s="77">
        <v>0</v>
      </c>
      <c r="F27" s="87">
        <f>D27</f>
        <v>0</v>
      </c>
      <c r="G27" s="77">
        <f t="shared" si="3"/>
        <v>0</v>
      </c>
      <c r="H27" s="98"/>
      <c r="I27" s="98"/>
      <c r="J27" s="98"/>
      <c r="K27" s="98"/>
      <c r="L27" s="215"/>
    </row>
    <row r="28" spans="1:11" ht="14.25">
      <c r="A28" s="41" t="s">
        <v>35</v>
      </c>
      <c r="B28" s="41" t="s">
        <v>36</v>
      </c>
      <c r="C28" s="97"/>
      <c r="D28" s="77">
        <f>SUM(D29:D32)</f>
        <v>11674179.92</v>
      </c>
      <c r="E28" s="77">
        <f>SUM(E29:E32)</f>
        <v>11419679.379999999</v>
      </c>
      <c r="F28" s="77">
        <f>SUM(F29:F32)</f>
        <v>11674179.92</v>
      </c>
      <c r="G28" s="77">
        <f t="shared" si="3"/>
        <v>254500.54000000097</v>
      </c>
      <c r="H28" s="98"/>
      <c r="I28" s="98"/>
      <c r="J28" s="98"/>
      <c r="K28" s="98"/>
    </row>
    <row r="29" spans="1:7" ht="15">
      <c r="A29" s="34" t="s">
        <v>37</v>
      </c>
      <c r="B29" s="34" t="s">
        <v>171</v>
      </c>
      <c r="C29" s="293">
        <v>4.2</v>
      </c>
      <c r="D29" s="84">
        <v>2558289.58</v>
      </c>
      <c r="E29" s="84">
        <v>2533131.09</v>
      </c>
      <c r="F29" s="84">
        <f>D29</f>
        <v>2558289.58</v>
      </c>
      <c r="G29" s="84">
        <f t="shared" si="3"/>
        <v>25158.490000000224</v>
      </c>
    </row>
    <row r="30" spans="1:7" ht="15">
      <c r="A30" s="34" t="s">
        <v>39</v>
      </c>
      <c r="B30" s="34" t="s">
        <v>137</v>
      </c>
      <c r="C30" s="285">
        <v>57.08</v>
      </c>
      <c r="D30" s="84">
        <v>1280845.1</v>
      </c>
      <c r="E30" s="84">
        <v>1236877</v>
      </c>
      <c r="F30" s="84">
        <f>D30</f>
        <v>1280845.1</v>
      </c>
      <c r="G30" s="84">
        <f t="shared" si="3"/>
        <v>43968.10000000009</v>
      </c>
    </row>
    <row r="31" spans="1:7" ht="26.25">
      <c r="A31" s="34" t="s">
        <v>42</v>
      </c>
      <c r="B31" s="34" t="s">
        <v>340</v>
      </c>
      <c r="C31" s="49" t="s">
        <v>238</v>
      </c>
      <c r="D31" s="84">
        <v>2084521.32</v>
      </c>
      <c r="E31" s="84">
        <v>1975818.49</v>
      </c>
      <c r="F31" s="84">
        <f>D31</f>
        <v>2084521.32</v>
      </c>
      <c r="G31" s="84">
        <f t="shared" si="3"/>
        <v>108702.83000000007</v>
      </c>
    </row>
    <row r="32" spans="1:7" ht="15">
      <c r="A32" s="34" t="s">
        <v>41</v>
      </c>
      <c r="B32" s="34" t="s">
        <v>43</v>
      </c>
      <c r="C32" s="293">
        <v>2616.05</v>
      </c>
      <c r="D32" s="84">
        <v>5750523.92</v>
      </c>
      <c r="E32" s="84">
        <v>5673852.8</v>
      </c>
      <c r="F32" s="84">
        <f>D32</f>
        <v>5750523.92</v>
      </c>
      <c r="G32" s="84">
        <f t="shared" si="3"/>
        <v>76671.12000000011</v>
      </c>
    </row>
    <row r="33" spans="1:9" s="102" customFormat="1" ht="16.5" customHeight="1" thickBot="1">
      <c r="A33" s="446" t="s">
        <v>294</v>
      </c>
      <c r="B33" s="447"/>
      <c r="C33" s="447"/>
      <c r="D33" s="448"/>
      <c r="E33" s="448"/>
      <c r="F33" s="448"/>
      <c r="G33" s="101"/>
      <c r="H33" s="101"/>
      <c r="I33" s="101"/>
    </row>
    <row r="34" spans="1:9" s="67" customFormat="1" ht="15.75" thickBot="1">
      <c r="A34" s="455" t="s">
        <v>413</v>
      </c>
      <c r="B34" s="456"/>
      <c r="C34" s="456"/>
      <c r="D34" s="65">
        <v>4441753.92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11" s="67" customFormat="1" ht="15.75" thickBot="1">
      <c r="A36" s="63" t="s">
        <v>415</v>
      </c>
      <c r="B36" s="64"/>
      <c r="C36" s="64"/>
      <c r="D36" s="69"/>
      <c r="E36" s="70"/>
      <c r="F36" s="70"/>
      <c r="G36" s="71">
        <f>G14+E26-F26</f>
        <v>-16633.674299999606</v>
      </c>
      <c r="H36" s="62"/>
      <c r="I36" s="62"/>
      <c r="K36" s="145"/>
    </row>
    <row r="37" spans="1:11" s="102" customFormat="1" ht="13.5">
      <c r="A37" s="104"/>
      <c r="B37" s="104"/>
      <c r="C37" s="104"/>
      <c r="D37" s="104"/>
      <c r="E37" s="101"/>
      <c r="F37" s="101"/>
      <c r="G37" s="101"/>
      <c r="H37" s="101"/>
      <c r="I37" s="101"/>
      <c r="J37" s="101"/>
      <c r="K37" s="101"/>
    </row>
    <row r="38" spans="1:20" ht="31.5" customHeight="1">
      <c r="A38" s="444" t="s">
        <v>179</v>
      </c>
      <c r="B38" s="481"/>
      <c r="C38" s="481"/>
      <c r="D38" s="481"/>
      <c r="E38" s="481"/>
      <c r="F38" s="481"/>
      <c r="G38" s="481"/>
      <c r="H38" s="58"/>
      <c r="I38" s="58"/>
      <c r="J38" s="58"/>
      <c r="K38" s="58"/>
      <c r="L38" s="630"/>
      <c r="M38" s="630"/>
      <c r="N38" s="263"/>
      <c r="O38" s="263"/>
      <c r="P38" s="222"/>
      <c r="Q38" s="264"/>
      <c r="R38" s="222"/>
      <c r="S38" s="92"/>
      <c r="T38" s="92"/>
    </row>
    <row r="39" spans="12:20" ht="15">
      <c r="L39" s="630"/>
      <c r="M39" s="630"/>
      <c r="N39" s="263"/>
      <c r="O39" s="222"/>
      <c r="P39" s="265"/>
      <c r="Q39" s="265"/>
      <c r="R39" s="222"/>
      <c r="S39" s="92"/>
      <c r="T39" s="92"/>
    </row>
    <row r="40" spans="1:12" s="74" customFormat="1" ht="37.5" customHeight="1">
      <c r="A40" s="105" t="s">
        <v>11</v>
      </c>
      <c r="B40" s="598" t="s">
        <v>45</v>
      </c>
      <c r="C40" s="598"/>
      <c r="D40" s="105" t="s">
        <v>163</v>
      </c>
      <c r="E40" s="105" t="s">
        <v>162</v>
      </c>
      <c r="F40" s="598" t="s">
        <v>46</v>
      </c>
      <c r="G40" s="598"/>
      <c r="H40" s="106"/>
      <c r="I40" s="107"/>
      <c r="L40" s="108"/>
    </row>
    <row r="41" spans="1:12" s="114" customFormat="1" ht="15" customHeight="1">
      <c r="A41" s="109" t="s">
        <v>47</v>
      </c>
      <c r="B41" s="597" t="s">
        <v>111</v>
      </c>
      <c r="C41" s="597"/>
      <c r="D41" s="110"/>
      <c r="E41" s="110"/>
      <c r="F41" s="611">
        <f>SUM(F42:G56)</f>
        <v>612865.4909999999</v>
      </c>
      <c r="G41" s="612"/>
      <c r="H41" s="112"/>
      <c r="I41" s="113"/>
      <c r="L41" s="115"/>
    </row>
    <row r="42" spans="1:12" ht="15">
      <c r="A42" s="34" t="s">
        <v>16</v>
      </c>
      <c r="B42" s="595" t="s">
        <v>698</v>
      </c>
      <c r="C42" s="595"/>
      <c r="D42" s="403" t="s">
        <v>164</v>
      </c>
      <c r="E42" s="403"/>
      <c r="F42" s="497">
        <v>442400</v>
      </c>
      <c r="G42" s="497"/>
      <c r="H42" s="40"/>
      <c r="I42" s="40"/>
      <c r="L42" s="119"/>
    </row>
    <row r="43" spans="1:12" ht="15">
      <c r="A43" s="34" t="s">
        <v>18</v>
      </c>
      <c r="B43" s="462" t="s">
        <v>647</v>
      </c>
      <c r="C43" s="489"/>
      <c r="D43" s="403" t="s">
        <v>164</v>
      </c>
      <c r="E43" s="403">
        <v>1</v>
      </c>
      <c r="F43" s="525">
        <v>1800</v>
      </c>
      <c r="G43" s="526"/>
      <c r="H43" s="40"/>
      <c r="I43" s="40"/>
      <c r="L43" s="119"/>
    </row>
    <row r="44" spans="1:12" ht="15">
      <c r="A44" s="34" t="s">
        <v>20</v>
      </c>
      <c r="B44" s="462" t="s">
        <v>699</v>
      </c>
      <c r="C44" s="489"/>
      <c r="D44" s="403" t="s">
        <v>164</v>
      </c>
      <c r="E44" s="403">
        <v>3</v>
      </c>
      <c r="F44" s="525">
        <v>66001.5</v>
      </c>
      <c r="G44" s="526"/>
      <c r="H44" s="40"/>
      <c r="I44" s="40"/>
      <c r="L44" s="119"/>
    </row>
    <row r="45" spans="1:12" ht="20.25" customHeight="1">
      <c r="A45" s="252" t="s">
        <v>22</v>
      </c>
      <c r="B45" s="462" t="s">
        <v>623</v>
      </c>
      <c r="C45" s="489"/>
      <c r="D45" s="403" t="s">
        <v>164</v>
      </c>
      <c r="E45" s="403">
        <v>2</v>
      </c>
      <c r="F45" s="525">
        <v>7000</v>
      </c>
      <c r="G45" s="526"/>
      <c r="H45" s="40"/>
      <c r="I45" s="40"/>
      <c r="L45" s="119"/>
    </row>
    <row r="46" spans="1:11" s="67" customFormat="1" ht="21" customHeight="1">
      <c r="A46" s="34" t="s">
        <v>24</v>
      </c>
      <c r="B46" s="462" t="s">
        <v>700</v>
      </c>
      <c r="C46" s="489"/>
      <c r="D46" s="403" t="s">
        <v>164</v>
      </c>
      <c r="E46" s="403">
        <v>2</v>
      </c>
      <c r="F46" s="525">
        <v>11357.92</v>
      </c>
      <c r="G46" s="526"/>
      <c r="H46" s="59"/>
      <c r="I46" s="59"/>
      <c r="J46" s="59"/>
      <c r="K46" s="59"/>
    </row>
    <row r="47" spans="1:11" s="67" customFormat="1" ht="24" customHeight="1">
      <c r="A47" s="34" t="s">
        <v>103</v>
      </c>
      <c r="B47" s="462" t="s">
        <v>394</v>
      </c>
      <c r="C47" s="489"/>
      <c r="D47" s="403" t="s">
        <v>164</v>
      </c>
      <c r="E47" s="403">
        <v>1</v>
      </c>
      <c r="F47" s="525">
        <v>3384</v>
      </c>
      <c r="G47" s="526"/>
      <c r="H47" s="59"/>
      <c r="I47" s="59"/>
      <c r="J47" s="59"/>
      <c r="K47" s="59"/>
    </row>
    <row r="48" spans="1:11" s="67" customFormat="1" ht="24" customHeight="1">
      <c r="A48" s="34" t="s">
        <v>104</v>
      </c>
      <c r="B48" s="462" t="s">
        <v>701</v>
      </c>
      <c r="C48" s="498"/>
      <c r="D48" s="403" t="s">
        <v>164</v>
      </c>
      <c r="E48" s="403">
        <v>1</v>
      </c>
      <c r="F48" s="525">
        <v>2705.44</v>
      </c>
      <c r="G48" s="526"/>
      <c r="H48" s="59"/>
      <c r="I48" s="59"/>
      <c r="J48" s="59"/>
      <c r="K48" s="59"/>
    </row>
    <row r="49" spans="1:11" s="67" customFormat="1" ht="24" customHeight="1">
      <c r="A49" s="34" t="s">
        <v>117</v>
      </c>
      <c r="B49" s="462" t="s">
        <v>394</v>
      </c>
      <c r="C49" s="498"/>
      <c r="D49" s="403" t="s">
        <v>164</v>
      </c>
      <c r="E49" s="403">
        <v>1</v>
      </c>
      <c r="F49" s="525">
        <v>3384</v>
      </c>
      <c r="G49" s="526"/>
      <c r="H49" s="59"/>
      <c r="I49" s="59"/>
      <c r="J49" s="59"/>
      <c r="K49" s="59"/>
    </row>
    <row r="50" spans="1:11" s="67" customFormat="1" ht="15.75" customHeight="1">
      <c r="A50" s="34" t="s">
        <v>118</v>
      </c>
      <c r="B50" s="462" t="s">
        <v>702</v>
      </c>
      <c r="C50" s="489"/>
      <c r="D50" s="403" t="s">
        <v>164</v>
      </c>
      <c r="E50" s="403">
        <v>1</v>
      </c>
      <c r="F50" s="525">
        <v>17292.94</v>
      </c>
      <c r="G50" s="526"/>
      <c r="H50" s="59"/>
      <c r="I50" s="59"/>
      <c r="J50" s="59"/>
      <c r="K50" s="59"/>
    </row>
    <row r="51" spans="1:11" s="67" customFormat="1" ht="17.25" customHeight="1">
      <c r="A51" s="34" t="s">
        <v>119</v>
      </c>
      <c r="B51" s="462" t="s">
        <v>544</v>
      </c>
      <c r="C51" s="489"/>
      <c r="D51" s="403" t="s">
        <v>164</v>
      </c>
      <c r="E51" s="403">
        <v>2</v>
      </c>
      <c r="F51" s="525">
        <v>5992</v>
      </c>
      <c r="G51" s="526"/>
      <c r="H51" s="59"/>
      <c r="I51" s="59"/>
      <c r="J51" s="59"/>
      <c r="K51" s="59"/>
    </row>
    <row r="52" spans="1:11" s="67" customFormat="1" ht="15" customHeight="1">
      <c r="A52" s="34" t="s">
        <v>139</v>
      </c>
      <c r="B52" s="462" t="s">
        <v>703</v>
      </c>
      <c r="C52" s="489"/>
      <c r="D52" s="403" t="s">
        <v>164</v>
      </c>
      <c r="E52" s="403">
        <v>10</v>
      </c>
      <c r="F52" s="624">
        <v>16930</v>
      </c>
      <c r="G52" s="625"/>
      <c r="H52" s="59"/>
      <c r="I52" s="59"/>
      <c r="J52" s="59"/>
      <c r="K52" s="59"/>
    </row>
    <row r="53" spans="1:11" s="67" customFormat="1" ht="18" customHeight="1">
      <c r="A53" s="34" t="s">
        <v>141</v>
      </c>
      <c r="B53" s="462" t="s">
        <v>630</v>
      </c>
      <c r="C53" s="489"/>
      <c r="D53" s="403"/>
      <c r="E53" s="403"/>
      <c r="F53" s="525">
        <v>8450</v>
      </c>
      <c r="G53" s="526"/>
      <c r="H53" s="59"/>
      <c r="I53" s="59"/>
      <c r="J53" s="59"/>
      <c r="K53" s="59"/>
    </row>
    <row r="54" spans="1:11" s="67" customFormat="1" ht="18" customHeight="1">
      <c r="A54" s="34" t="s">
        <v>142</v>
      </c>
      <c r="B54" s="449" t="s">
        <v>814</v>
      </c>
      <c r="C54" s="451"/>
      <c r="D54" s="118" t="s">
        <v>391</v>
      </c>
      <c r="E54" s="118">
        <v>8</v>
      </c>
      <c r="F54" s="523">
        <v>22400</v>
      </c>
      <c r="G54" s="524"/>
      <c r="H54" s="59"/>
      <c r="I54" s="59"/>
      <c r="J54" s="59"/>
      <c r="K54" s="59"/>
    </row>
    <row r="55" spans="1:11" s="67" customFormat="1" ht="18" customHeight="1">
      <c r="A55" s="34" t="s">
        <v>257</v>
      </c>
      <c r="B55" s="462"/>
      <c r="C55" s="489"/>
      <c r="D55" s="403"/>
      <c r="E55" s="403"/>
      <c r="F55" s="525"/>
      <c r="G55" s="526"/>
      <c r="H55" s="59"/>
      <c r="I55" s="59"/>
      <c r="J55" s="59"/>
      <c r="K55" s="59"/>
    </row>
    <row r="56" spans="1:11" s="67" customFormat="1" ht="20.25" customHeight="1">
      <c r="A56" s="34" t="s">
        <v>281</v>
      </c>
      <c r="B56" s="511" t="s">
        <v>188</v>
      </c>
      <c r="C56" s="512"/>
      <c r="D56" s="123"/>
      <c r="E56" s="123"/>
      <c r="F56" s="495">
        <f>E26*1%</f>
        <v>3767.691</v>
      </c>
      <c r="G56" s="495"/>
      <c r="H56" s="59"/>
      <c r="I56" s="59"/>
      <c r="J56" s="59"/>
      <c r="K56" s="59"/>
    </row>
    <row r="57" spans="1:11" s="67" customFormat="1" ht="20.25" customHeight="1">
      <c r="A57" s="41" t="s">
        <v>282</v>
      </c>
      <c r="B57" s="626" t="s">
        <v>185</v>
      </c>
      <c r="C57" s="627"/>
      <c r="D57" s="274"/>
      <c r="E57" s="274"/>
      <c r="F57" s="628">
        <f>F58+F59</f>
        <v>161280</v>
      </c>
      <c r="G57" s="629"/>
      <c r="H57" s="59"/>
      <c r="I57" s="59"/>
      <c r="J57" s="59"/>
      <c r="K57" s="59"/>
    </row>
    <row r="58" spans="1:11" s="67" customFormat="1" ht="8.25" customHeight="1">
      <c r="A58" s="41"/>
      <c r="B58" s="116"/>
      <c r="C58" s="117"/>
      <c r="D58" s="118"/>
      <c r="E58" s="118"/>
      <c r="F58" s="521"/>
      <c r="G58" s="522"/>
      <c r="H58" s="59"/>
      <c r="I58" s="59"/>
      <c r="J58" s="59"/>
      <c r="K58" s="59"/>
    </row>
    <row r="59" spans="1:7" ht="15">
      <c r="A59" s="34" t="s">
        <v>279</v>
      </c>
      <c r="B59" s="462" t="s">
        <v>283</v>
      </c>
      <c r="C59" s="489"/>
      <c r="D59" s="337"/>
      <c r="E59" s="337"/>
      <c r="F59" s="525">
        <f>13440*12</f>
        <v>161280</v>
      </c>
      <c r="G59" s="526"/>
    </row>
    <row r="60" spans="1:7" ht="12.75">
      <c r="A60" s="59"/>
      <c r="B60" s="59"/>
      <c r="C60" s="59"/>
      <c r="D60" s="59"/>
      <c r="E60" s="59"/>
      <c r="F60" s="59"/>
      <c r="G60" s="59"/>
    </row>
    <row r="61" spans="1:7" ht="15">
      <c r="A61" s="67" t="s">
        <v>55</v>
      </c>
      <c r="B61" s="67"/>
      <c r="C61" s="125" t="s">
        <v>49</v>
      </c>
      <c r="D61" s="67"/>
      <c r="E61" s="67"/>
      <c r="F61" s="67" t="s">
        <v>90</v>
      </c>
      <c r="G61" s="67"/>
    </row>
    <row r="62" spans="1:7" ht="15">
      <c r="A62" s="67"/>
      <c r="B62" s="67"/>
      <c r="C62" s="125"/>
      <c r="D62" s="67"/>
      <c r="E62" s="67"/>
      <c r="F62" s="126" t="s">
        <v>545</v>
      </c>
      <c r="G62" s="67"/>
    </row>
    <row r="63" spans="1:7" ht="15">
      <c r="A63" s="67" t="s">
        <v>50</v>
      </c>
      <c r="B63" s="67"/>
      <c r="C63" s="125"/>
      <c r="D63" s="67"/>
      <c r="E63" s="67"/>
      <c r="F63" s="67"/>
      <c r="G63" s="67"/>
    </row>
    <row r="64" spans="1:7" ht="15">
      <c r="A64" s="67"/>
      <c r="B64" s="67"/>
      <c r="C64" s="127" t="s">
        <v>51</v>
      </c>
      <c r="D64" s="67"/>
      <c r="E64" s="128"/>
      <c r="F64" s="128"/>
      <c r="G64" s="128"/>
    </row>
  </sheetData>
  <sheetProtection/>
  <mergeCells count="50">
    <mergeCell ref="B45:C45"/>
    <mergeCell ref="F45:G45"/>
    <mergeCell ref="B42:C42"/>
    <mergeCell ref="F42:G42"/>
    <mergeCell ref="L38:M39"/>
    <mergeCell ref="B44:C44"/>
    <mergeCell ref="F44:G44"/>
    <mergeCell ref="B40:C40"/>
    <mergeCell ref="F40:G40"/>
    <mergeCell ref="F41:G41"/>
    <mergeCell ref="A38:G38"/>
    <mergeCell ref="B43:C43"/>
    <mergeCell ref="F43:G43"/>
    <mergeCell ref="F47:G47"/>
    <mergeCell ref="B51:C51"/>
    <mergeCell ref="B48:C48"/>
    <mergeCell ref="B50:C50"/>
    <mergeCell ref="F48:G48"/>
    <mergeCell ref="F49:G49"/>
    <mergeCell ref="B46:C46"/>
    <mergeCell ref="A1:K1"/>
    <mergeCell ref="A2:K2"/>
    <mergeCell ref="A3:K3"/>
    <mergeCell ref="A5:K5"/>
    <mergeCell ref="A10:K10"/>
    <mergeCell ref="B41:C41"/>
    <mergeCell ref="A12:K12"/>
    <mergeCell ref="A34:C34"/>
    <mergeCell ref="A11:K11"/>
    <mergeCell ref="A33:F33"/>
    <mergeCell ref="F46:G46"/>
    <mergeCell ref="B47:C47"/>
    <mergeCell ref="F53:G53"/>
    <mergeCell ref="F54:G54"/>
    <mergeCell ref="B52:C52"/>
    <mergeCell ref="F52:G52"/>
    <mergeCell ref="B55:C55"/>
    <mergeCell ref="F51:G51"/>
    <mergeCell ref="F50:G50"/>
    <mergeCell ref="F56:G56"/>
    <mergeCell ref="B54:C54"/>
    <mergeCell ref="B59:C59"/>
    <mergeCell ref="F59:G59"/>
    <mergeCell ref="F58:G58"/>
    <mergeCell ref="B49:C49"/>
    <mergeCell ref="F55:G55"/>
    <mergeCell ref="B53:C53"/>
    <mergeCell ref="B57:C57"/>
    <mergeCell ref="F57:G57"/>
    <mergeCell ref="B56:C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7030A0"/>
  </sheetPr>
  <dimension ref="A1:N60"/>
  <sheetViews>
    <sheetView zoomScalePageLayoutView="0" workbookViewId="0" topLeftCell="A44">
      <selection activeCell="B51" sqref="B51:G51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8" s="59" customFormat="1" ht="16.5" customHeight="1">
      <c r="A7" s="59" t="s">
        <v>2</v>
      </c>
      <c r="F7" s="60" t="s">
        <v>212</v>
      </c>
      <c r="H7" s="60"/>
    </row>
    <row r="8" spans="1:8" s="59" customFormat="1" ht="12.75">
      <c r="A8" s="59" t="s">
        <v>3</v>
      </c>
      <c r="F8" s="301" t="s">
        <v>312</v>
      </c>
      <c r="H8" s="60"/>
    </row>
    <row r="9" spans="1:11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431</v>
      </c>
      <c r="B13" s="64"/>
      <c r="C13" s="64"/>
      <c r="D13" s="69"/>
      <c r="E13" s="70"/>
      <c r="F13" s="70"/>
      <c r="G13" s="65">
        <f>'[2]Молодежная 48'!$G$35</f>
        <v>674658.8825999999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4" s="59" customFormat="1" ht="14.25">
      <c r="A16" s="75" t="s">
        <v>14</v>
      </c>
      <c r="B16" s="41" t="s">
        <v>15</v>
      </c>
      <c r="C16" s="46">
        <f>C17+C18+C19+C20+C21</f>
        <v>11.4</v>
      </c>
      <c r="D16" s="76">
        <v>1426256.2</v>
      </c>
      <c r="E16" s="76">
        <v>1421028.27</v>
      </c>
      <c r="F16" s="76">
        <f>SUM(F17:F21)</f>
        <v>1423621.7645614035</v>
      </c>
      <c r="G16" s="77">
        <f aca="true" t="shared" si="0" ref="G16:G21">D16-E16</f>
        <v>5227.929999999935</v>
      </c>
      <c r="H16" s="78">
        <f aca="true" t="shared" si="1" ref="H16:H21">C16</f>
        <v>11.4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432881.26771929825</v>
      </c>
      <c r="E17" s="83">
        <f>E16*I17</f>
        <v>431294.5451052632</v>
      </c>
      <c r="F17" s="83">
        <f aca="true" t="shared" si="2" ref="F17:F23">D17</f>
        <v>432881.26771929825</v>
      </c>
      <c r="G17" s="84">
        <f t="shared" si="0"/>
        <v>1586.7226140350685</v>
      </c>
      <c r="H17" s="78">
        <f t="shared" si="1"/>
        <v>3.46</v>
      </c>
      <c r="I17" s="59">
        <f>H17/H16</f>
        <v>0.30350877192982456</v>
      </c>
    </row>
    <row r="18" spans="1:9" s="59" customFormat="1" ht="15">
      <c r="A18" s="81" t="s">
        <v>18</v>
      </c>
      <c r="B18" s="34" t="s">
        <v>19</v>
      </c>
      <c r="C18" s="85">
        <v>1.69</v>
      </c>
      <c r="D18" s="83">
        <f>D16*I18</f>
        <v>211436.22614035086</v>
      </c>
      <c r="E18" s="83">
        <f>E16*I18</f>
        <v>210661.2084473684</v>
      </c>
      <c r="F18" s="83">
        <f t="shared" si="2"/>
        <v>211436.22614035086</v>
      </c>
      <c r="G18" s="84">
        <f t="shared" si="0"/>
        <v>775.017692982452</v>
      </c>
      <c r="H18" s="78">
        <f t="shared" si="1"/>
        <v>1.69</v>
      </c>
      <c r="I18" s="59">
        <f>H18/H16</f>
        <v>0.1482456140350877</v>
      </c>
    </row>
    <row r="19" spans="1:9" s="59" customFormat="1" ht="15">
      <c r="A19" s="81" t="s">
        <v>20</v>
      </c>
      <c r="B19" s="34" t="s">
        <v>21</v>
      </c>
      <c r="C19" s="85">
        <v>1.99</v>
      </c>
      <c r="D19" s="83">
        <f>D16*I19</f>
        <v>248969.28403508768</v>
      </c>
      <c r="E19" s="83">
        <f>E16*I19</f>
        <v>248056.6892368421</v>
      </c>
      <c r="F19" s="83">
        <f t="shared" si="2"/>
        <v>248969.28403508768</v>
      </c>
      <c r="G19" s="84">
        <f t="shared" si="0"/>
        <v>912.5947982455837</v>
      </c>
      <c r="H19" s="78">
        <f t="shared" si="1"/>
        <v>1.99</v>
      </c>
      <c r="I19" s="59">
        <f>H19/H16</f>
        <v>0.17456140350877192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380334.98666666663</v>
      </c>
      <c r="E20" s="83">
        <f>E16*I20</f>
        <v>378940.872</v>
      </c>
      <c r="F20" s="83">
        <f t="shared" si="2"/>
        <v>380334.98666666663</v>
      </c>
      <c r="G20" s="84">
        <f t="shared" si="0"/>
        <v>1394.114666666661</v>
      </c>
      <c r="H20" s="78">
        <f t="shared" si="1"/>
        <v>3.04</v>
      </c>
      <c r="I20" s="59">
        <f>H20/H16</f>
        <v>0.26666666666666666</v>
      </c>
    </row>
    <row r="21" spans="1:9" s="270" customFormat="1" ht="15">
      <c r="A21" s="266" t="s">
        <v>24</v>
      </c>
      <c r="B21" s="267" t="s">
        <v>185</v>
      </c>
      <c r="C21" s="82">
        <v>1.22</v>
      </c>
      <c r="D21" s="268">
        <f>D16*I21</f>
        <v>152634.4354385965</v>
      </c>
      <c r="E21" s="268">
        <f>E16*I21</f>
        <v>152074.95521052633</v>
      </c>
      <c r="F21" s="238">
        <f>F54</f>
        <v>150000</v>
      </c>
      <c r="G21" s="84">
        <f t="shared" si="0"/>
        <v>559.4802280701697</v>
      </c>
      <c r="H21" s="269">
        <f t="shared" si="1"/>
        <v>1.22</v>
      </c>
      <c r="I21" s="270">
        <f>H21/H16</f>
        <v>0.10701754385964912</v>
      </c>
    </row>
    <row r="22" spans="1:11" s="89" customFormat="1" ht="14.25">
      <c r="A22" s="86" t="s">
        <v>25</v>
      </c>
      <c r="B22" s="86" t="s">
        <v>26</v>
      </c>
      <c r="C22" s="46">
        <v>3.86</v>
      </c>
      <c r="D22" s="87">
        <v>468348.44</v>
      </c>
      <c r="E22" s="87">
        <v>467927.19</v>
      </c>
      <c r="F22" s="87">
        <f t="shared" si="2"/>
        <v>468348.44</v>
      </c>
      <c r="G22" s="77">
        <f aca="true" t="shared" si="3" ref="G22:G31">D22-E22</f>
        <v>421.25</v>
      </c>
      <c r="H22" s="88"/>
      <c r="I22" s="88"/>
      <c r="J22" s="88"/>
      <c r="K22" s="88"/>
    </row>
    <row r="23" spans="1:11" s="89" customFormat="1" ht="14.25">
      <c r="A23" s="86" t="s">
        <v>27</v>
      </c>
      <c r="B23" s="86" t="s">
        <v>28</v>
      </c>
      <c r="C23" s="46">
        <v>0</v>
      </c>
      <c r="D23" s="87">
        <v>0</v>
      </c>
      <c r="E23" s="87">
        <v>0</v>
      </c>
      <c r="F23" s="87">
        <f t="shared" si="2"/>
        <v>0</v>
      </c>
      <c r="G23" s="77">
        <f t="shared" si="3"/>
        <v>0</v>
      </c>
      <c r="H23" s="88"/>
      <c r="I23" s="88"/>
      <c r="J23" s="88"/>
      <c r="K23" s="88"/>
    </row>
    <row r="24" spans="1:11" s="89" customFormat="1" ht="14.25">
      <c r="A24" s="86" t="s">
        <v>29</v>
      </c>
      <c r="B24" s="86" t="s">
        <v>220</v>
      </c>
      <c r="C24" s="46" t="s">
        <v>803</v>
      </c>
      <c r="D24" s="87">
        <v>232800</v>
      </c>
      <c r="E24" s="87">
        <v>232714.61</v>
      </c>
      <c r="F24" s="87">
        <f>D24</f>
        <v>232800</v>
      </c>
      <c r="G24" s="77">
        <f t="shared" si="3"/>
        <v>85.39000000001397</v>
      </c>
      <c r="H24" s="88"/>
      <c r="I24" s="88"/>
      <c r="J24" s="88"/>
      <c r="K24" s="88"/>
    </row>
    <row r="25" spans="1:11" s="89" customFormat="1" ht="14.25">
      <c r="A25" s="86" t="s">
        <v>31</v>
      </c>
      <c r="B25" s="86" t="s">
        <v>116</v>
      </c>
      <c r="C25" s="95">
        <v>2.06</v>
      </c>
      <c r="D25" s="87">
        <v>253411.92</v>
      </c>
      <c r="E25" s="87">
        <v>253102.85</v>
      </c>
      <c r="F25" s="87">
        <f>F40</f>
        <v>527635.9284999999</v>
      </c>
      <c r="G25" s="77">
        <f t="shared" si="3"/>
        <v>309.070000000007</v>
      </c>
      <c r="H25" s="88"/>
      <c r="I25" s="88"/>
      <c r="J25" s="88"/>
      <c r="K25" s="262"/>
    </row>
    <row r="26" spans="1:12" ht="14.25">
      <c r="A26" s="41" t="s">
        <v>33</v>
      </c>
      <c r="B26" s="41" t="s">
        <v>161</v>
      </c>
      <c r="C26" s="97" t="s">
        <v>297</v>
      </c>
      <c r="D26" s="77">
        <v>0</v>
      </c>
      <c r="E26" s="77">
        <v>0</v>
      </c>
      <c r="F26" s="87">
        <f>D26</f>
        <v>0</v>
      </c>
      <c r="G26" s="77">
        <f t="shared" si="3"/>
        <v>0</v>
      </c>
      <c r="H26" s="98"/>
      <c r="I26" s="98"/>
      <c r="J26" s="98"/>
      <c r="K26" s="98"/>
      <c r="L26" s="215"/>
    </row>
    <row r="27" spans="1:11" ht="14.25">
      <c r="A27" s="41" t="s">
        <v>35</v>
      </c>
      <c r="B27" s="41" t="s">
        <v>36</v>
      </c>
      <c r="C27" s="97"/>
      <c r="D27" s="77">
        <f>SUM(D28:D31)</f>
        <v>7251581.99</v>
      </c>
      <c r="E27" s="77">
        <f>SUM(E28:E31)</f>
        <v>7173694.54</v>
      </c>
      <c r="F27" s="77">
        <f>SUM(F28:F31)</f>
        <v>7251581.99</v>
      </c>
      <c r="G27" s="77">
        <f t="shared" si="3"/>
        <v>77887.45000000019</v>
      </c>
      <c r="H27" s="98"/>
      <c r="I27" s="98"/>
      <c r="J27" s="98"/>
      <c r="K27" s="98"/>
    </row>
    <row r="28" spans="1:7" ht="15">
      <c r="A28" s="34" t="s">
        <v>37</v>
      </c>
      <c r="B28" s="34" t="s">
        <v>171</v>
      </c>
      <c r="C28" s="293">
        <v>4.2</v>
      </c>
      <c r="D28" s="84">
        <v>1648727.04</v>
      </c>
      <c r="E28" s="84">
        <v>1628602.58</v>
      </c>
      <c r="F28" s="84">
        <f>D28</f>
        <v>1648727.04</v>
      </c>
      <c r="G28" s="84">
        <f t="shared" si="3"/>
        <v>20124.459999999963</v>
      </c>
    </row>
    <row r="29" spans="1:7" ht="15">
      <c r="A29" s="34" t="s">
        <v>39</v>
      </c>
      <c r="B29" s="34" t="s">
        <v>137</v>
      </c>
      <c r="C29" s="285">
        <v>57.08</v>
      </c>
      <c r="D29" s="84">
        <v>829543.49</v>
      </c>
      <c r="E29" s="84">
        <v>825461.72</v>
      </c>
      <c r="F29" s="84">
        <f>D29</f>
        <v>829543.49</v>
      </c>
      <c r="G29" s="84">
        <f t="shared" si="3"/>
        <v>4081.7700000000186</v>
      </c>
    </row>
    <row r="30" spans="1:7" ht="26.25">
      <c r="A30" s="34" t="s">
        <v>42</v>
      </c>
      <c r="B30" s="34" t="s">
        <v>340</v>
      </c>
      <c r="C30" s="49" t="s">
        <v>238</v>
      </c>
      <c r="D30" s="84">
        <v>1331111.13</v>
      </c>
      <c r="E30" s="84">
        <v>1291352.33</v>
      </c>
      <c r="F30" s="84">
        <f>D30</f>
        <v>1331111.13</v>
      </c>
      <c r="G30" s="84">
        <f>D30-E30</f>
        <v>39758.799999999814</v>
      </c>
    </row>
    <row r="31" spans="1:7" ht="15">
      <c r="A31" s="34" t="s">
        <v>41</v>
      </c>
      <c r="B31" s="34" t="s">
        <v>43</v>
      </c>
      <c r="C31" s="293">
        <v>2616.05</v>
      </c>
      <c r="D31" s="84">
        <v>3442200.33</v>
      </c>
      <c r="E31" s="84">
        <v>3428277.91</v>
      </c>
      <c r="F31" s="84">
        <f>D31</f>
        <v>3442200.33</v>
      </c>
      <c r="G31" s="84">
        <f t="shared" si="3"/>
        <v>13922.419999999925</v>
      </c>
    </row>
    <row r="32" spans="1:9" s="102" customFormat="1" ht="15.75" customHeight="1" thickBot="1">
      <c r="A32" s="446" t="s">
        <v>294</v>
      </c>
      <c r="B32" s="447"/>
      <c r="C32" s="447"/>
      <c r="D32" s="448"/>
      <c r="E32" s="448"/>
      <c r="F32" s="448"/>
      <c r="G32" s="101"/>
      <c r="H32" s="101"/>
      <c r="I32" s="101"/>
    </row>
    <row r="33" spans="1:9" s="67" customFormat="1" ht="15.75" thickBot="1">
      <c r="A33" s="455" t="s">
        <v>413</v>
      </c>
      <c r="B33" s="456"/>
      <c r="C33" s="456"/>
      <c r="D33" s="65">
        <v>2330137.76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11" s="67" customFormat="1" ht="15.75" thickBot="1">
      <c r="A35" s="63" t="s">
        <v>415</v>
      </c>
      <c r="B35" s="64"/>
      <c r="C35" s="64"/>
      <c r="D35" s="69"/>
      <c r="E35" s="70"/>
      <c r="F35" s="70"/>
      <c r="G35" s="144">
        <f>G13+E25-F25</f>
        <v>400125.80409999995</v>
      </c>
      <c r="H35" s="62"/>
      <c r="I35" s="62"/>
      <c r="K35" s="145"/>
    </row>
    <row r="36" spans="1:11" s="102" customFormat="1" ht="13.5">
      <c r="A36" s="104"/>
      <c r="B36" s="104"/>
      <c r="C36" s="104"/>
      <c r="D36" s="104"/>
      <c r="E36" s="101"/>
      <c r="F36" s="101"/>
      <c r="G36" s="101"/>
      <c r="H36" s="101"/>
      <c r="I36" s="101"/>
      <c r="J36" s="101"/>
      <c r="K36" s="101"/>
    </row>
    <row r="37" spans="1:11" ht="31.5" customHeight="1">
      <c r="A37" s="444" t="s">
        <v>179</v>
      </c>
      <c r="B37" s="631"/>
      <c r="C37" s="631"/>
      <c r="D37" s="631"/>
      <c r="E37" s="631"/>
      <c r="F37" s="631"/>
      <c r="G37" s="631"/>
      <c r="H37" s="58"/>
      <c r="I37" s="58"/>
      <c r="J37" s="58"/>
      <c r="K37" s="58"/>
    </row>
    <row r="38" spans="1:7" ht="12.75">
      <c r="A38" s="632"/>
      <c r="B38" s="632"/>
      <c r="C38" s="632"/>
      <c r="D38" s="632"/>
      <c r="E38" s="632"/>
      <c r="F38" s="632"/>
      <c r="G38" s="632"/>
    </row>
    <row r="39" spans="1:12" s="74" customFormat="1" ht="37.5" customHeight="1">
      <c r="A39" s="105" t="s">
        <v>11</v>
      </c>
      <c r="B39" s="471" t="s">
        <v>45</v>
      </c>
      <c r="C39" s="484"/>
      <c r="D39" s="105" t="s">
        <v>163</v>
      </c>
      <c r="E39" s="105" t="s">
        <v>162</v>
      </c>
      <c r="F39" s="471" t="s">
        <v>46</v>
      </c>
      <c r="G39" s="484"/>
      <c r="H39" s="244"/>
      <c r="I39" s="245"/>
      <c r="L39" s="108"/>
    </row>
    <row r="40" spans="1:12" s="114" customFormat="1" ht="15" customHeight="1">
      <c r="A40" s="109" t="s">
        <v>47</v>
      </c>
      <c r="B40" s="473" t="s">
        <v>111</v>
      </c>
      <c r="C40" s="491"/>
      <c r="D40" s="110"/>
      <c r="E40" s="110"/>
      <c r="F40" s="496">
        <f>SUM(F41:J53)</f>
        <v>527635.9284999999</v>
      </c>
      <c r="G40" s="483"/>
      <c r="H40" s="246"/>
      <c r="I40" s="247"/>
      <c r="L40" s="115"/>
    </row>
    <row r="41" spans="1:12" ht="15">
      <c r="A41" s="34" t="s">
        <v>16</v>
      </c>
      <c r="B41" s="595" t="s">
        <v>698</v>
      </c>
      <c r="C41" s="595"/>
      <c r="D41" s="403"/>
      <c r="E41" s="403"/>
      <c r="F41" s="525">
        <v>261200</v>
      </c>
      <c r="G41" s="526"/>
      <c r="H41" s="248"/>
      <c r="I41" s="249"/>
      <c r="L41" s="119"/>
    </row>
    <row r="42" spans="1:12" ht="15">
      <c r="A42" s="34" t="s">
        <v>18</v>
      </c>
      <c r="B42" s="595" t="s">
        <v>704</v>
      </c>
      <c r="C42" s="595"/>
      <c r="D42" s="403" t="s">
        <v>164</v>
      </c>
      <c r="E42" s="403">
        <v>8</v>
      </c>
      <c r="F42" s="497">
        <v>1130.56</v>
      </c>
      <c r="G42" s="497"/>
      <c r="H42" s="40"/>
      <c r="I42" s="40"/>
      <c r="L42" s="119"/>
    </row>
    <row r="43" spans="1:12" ht="15">
      <c r="A43" s="34" t="s">
        <v>20</v>
      </c>
      <c r="B43" s="462" t="s">
        <v>705</v>
      </c>
      <c r="C43" s="489"/>
      <c r="D43" s="403" t="s">
        <v>164</v>
      </c>
      <c r="E43" s="403">
        <v>14</v>
      </c>
      <c r="F43" s="525">
        <v>5105.63</v>
      </c>
      <c r="G43" s="526"/>
      <c r="H43" s="40"/>
      <c r="I43" s="40"/>
      <c r="L43" s="119"/>
    </row>
    <row r="44" spans="1:12" ht="17.25" customHeight="1">
      <c r="A44" s="252" t="s">
        <v>22</v>
      </c>
      <c r="B44" s="462" t="s">
        <v>706</v>
      </c>
      <c r="C44" s="498"/>
      <c r="D44" s="403" t="s">
        <v>164</v>
      </c>
      <c r="E44" s="403">
        <v>85</v>
      </c>
      <c r="F44" s="525">
        <v>3983.85</v>
      </c>
      <c r="G44" s="526"/>
      <c r="H44" s="40"/>
      <c r="I44" s="40"/>
      <c r="L44" s="119"/>
    </row>
    <row r="45" spans="1:11" s="67" customFormat="1" ht="21.75" customHeight="1">
      <c r="A45" s="34" t="s">
        <v>24</v>
      </c>
      <c r="B45" s="462" t="s">
        <v>394</v>
      </c>
      <c r="C45" s="498"/>
      <c r="D45" s="403" t="s">
        <v>164</v>
      </c>
      <c r="E45" s="403">
        <v>1</v>
      </c>
      <c r="F45" s="525">
        <v>2986</v>
      </c>
      <c r="G45" s="526"/>
      <c r="H45" s="59"/>
      <c r="I45" s="59"/>
      <c r="J45" s="59"/>
      <c r="K45" s="59"/>
    </row>
    <row r="46" spans="1:11" s="67" customFormat="1" ht="18" customHeight="1">
      <c r="A46" s="34" t="s">
        <v>103</v>
      </c>
      <c r="B46" s="462" t="s">
        <v>707</v>
      </c>
      <c r="C46" s="498"/>
      <c r="D46" s="403" t="s">
        <v>164</v>
      </c>
      <c r="E46" s="403">
        <v>1</v>
      </c>
      <c r="F46" s="525">
        <v>38797.36</v>
      </c>
      <c r="G46" s="526"/>
      <c r="H46" s="59"/>
      <c r="I46" s="59"/>
      <c r="J46" s="59"/>
      <c r="K46" s="59"/>
    </row>
    <row r="47" spans="1:11" s="67" customFormat="1" ht="18" customHeight="1">
      <c r="A47" s="34" t="s">
        <v>104</v>
      </c>
      <c r="B47" s="462" t="s">
        <v>699</v>
      </c>
      <c r="C47" s="489"/>
      <c r="D47" s="403" t="s">
        <v>164</v>
      </c>
      <c r="E47" s="403">
        <v>3</v>
      </c>
      <c r="F47" s="525">
        <v>66001.5</v>
      </c>
      <c r="G47" s="526"/>
      <c r="H47" s="59"/>
      <c r="I47" s="59"/>
      <c r="J47" s="59"/>
      <c r="K47" s="59"/>
    </row>
    <row r="48" spans="1:11" s="67" customFormat="1" ht="18" customHeight="1">
      <c r="A48" s="34" t="s">
        <v>117</v>
      </c>
      <c r="B48" s="462" t="s">
        <v>637</v>
      </c>
      <c r="C48" s="498"/>
      <c r="D48" s="403"/>
      <c r="E48" s="403"/>
      <c r="F48" s="624">
        <v>83000</v>
      </c>
      <c r="G48" s="625"/>
      <c r="H48" s="59"/>
      <c r="I48" s="59"/>
      <c r="J48" s="59"/>
      <c r="K48" s="59"/>
    </row>
    <row r="49" spans="1:11" s="67" customFormat="1" ht="18" customHeight="1">
      <c r="A49" s="34" t="s">
        <v>118</v>
      </c>
      <c r="B49" s="462" t="s">
        <v>708</v>
      </c>
      <c r="C49" s="498"/>
      <c r="D49" s="403"/>
      <c r="E49" s="403"/>
      <c r="F49" s="624">
        <v>24800</v>
      </c>
      <c r="G49" s="625"/>
      <c r="H49" s="59"/>
      <c r="I49" s="59"/>
      <c r="J49" s="59"/>
      <c r="K49" s="59"/>
    </row>
    <row r="50" spans="1:11" s="67" customFormat="1" ht="15" customHeight="1">
      <c r="A50" s="34" t="s">
        <v>119</v>
      </c>
      <c r="B50" s="462" t="s">
        <v>709</v>
      </c>
      <c r="C50" s="498"/>
      <c r="D50" s="403" t="s">
        <v>164</v>
      </c>
      <c r="E50" s="403">
        <v>6</v>
      </c>
      <c r="F50" s="624">
        <v>21300</v>
      </c>
      <c r="G50" s="625"/>
      <c r="H50" s="59"/>
      <c r="I50" s="59"/>
      <c r="J50" s="59"/>
      <c r="K50" s="59"/>
    </row>
    <row r="51" spans="1:11" s="67" customFormat="1" ht="15" customHeight="1">
      <c r="A51" s="34" t="s">
        <v>139</v>
      </c>
      <c r="B51" s="449" t="s">
        <v>814</v>
      </c>
      <c r="C51" s="641"/>
      <c r="D51" s="118" t="s">
        <v>391</v>
      </c>
      <c r="E51" s="118">
        <v>6</v>
      </c>
      <c r="F51" s="523">
        <v>16800</v>
      </c>
      <c r="G51" s="524"/>
      <c r="H51" s="59"/>
      <c r="I51" s="59"/>
      <c r="J51" s="59"/>
      <c r="K51" s="59"/>
    </row>
    <row r="52" spans="1:11" s="67" customFormat="1" ht="15" customHeight="1">
      <c r="A52" s="34" t="s">
        <v>141</v>
      </c>
      <c r="B52" s="462"/>
      <c r="C52" s="498"/>
      <c r="D52" s="403"/>
      <c r="E52" s="403"/>
      <c r="F52" s="624"/>
      <c r="G52" s="625"/>
      <c r="H52" s="59"/>
      <c r="I52" s="59"/>
      <c r="J52" s="59"/>
      <c r="K52" s="59"/>
    </row>
    <row r="53" spans="1:11" s="67" customFormat="1" ht="18.75" customHeight="1">
      <c r="A53" s="34" t="s">
        <v>142</v>
      </c>
      <c r="B53" s="511" t="s">
        <v>188</v>
      </c>
      <c r="C53" s="512"/>
      <c r="D53" s="123"/>
      <c r="E53" s="123"/>
      <c r="F53" s="495">
        <f>E25*1%</f>
        <v>2531.0285</v>
      </c>
      <c r="G53" s="495"/>
      <c r="H53" s="59"/>
      <c r="I53" s="59"/>
      <c r="J53" s="59"/>
      <c r="K53" s="59"/>
    </row>
    <row r="54" spans="1:11" s="67" customFormat="1" ht="27.75" customHeight="1">
      <c r="A54" s="41" t="s">
        <v>282</v>
      </c>
      <c r="B54" s="626" t="s">
        <v>185</v>
      </c>
      <c r="C54" s="627"/>
      <c r="D54" s="118"/>
      <c r="E54" s="118"/>
      <c r="F54" s="628">
        <f>F55</f>
        <v>150000</v>
      </c>
      <c r="G54" s="629"/>
      <c r="H54" s="59"/>
      <c r="I54" s="59"/>
      <c r="J54" s="59"/>
      <c r="K54" s="59"/>
    </row>
    <row r="55" spans="1:7" ht="15">
      <c r="A55" s="34" t="s">
        <v>279</v>
      </c>
      <c r="B55" s="462" t="s">
        <v>283</v>
      </c>
      <c r="C55" s="489"/>
      <c r="D55" s="343"/>
      <c r="E55" s="343"/>
      <c r="F55" s="525">
        <f>12500*12</f>
        <v>150000</v>
      </c>
      <c r="G55" s="526"/>
    </row>
    <row r="56" spans="1:7" ht="12.75">
      <c r="A56" s="59"/>
      <c r="B56" s="59"/>
      <c r="C56" s="59"/>
      <c r="D56" s="59"/>
      <c r="E56" s="59"/>
      <c r="F56" s="59"/>
      <c r="G56" s="59"/>
    </row>
    <row r="57" spans="1:7" ht="15">
      <c r="A57" s="67" t="s">
        <v>55</v>
      </c>
      <c r="B57" s="67"/>
      <c r="C57" s="125" t="s">
        <v>49</v>
      </c>
      <c r="D57" s="67"/>
      <c r="E57" s="67"/>
      <c r="F57" s="67" t="s">
        <v>90</v>
      </c>
      <c r="G57" s="67"/>
    </row>
    <row r="58" spans="1:7" ht="15">
      <c r="A58" s="67"/>
      <c r="B58" s="67"/>
      <c r="C58" s="125"/>
      <c r="D58" s="67"/>
      <c r="E58" s="67"/>
      <c r="F58" s="126" t="s">
        <v>545</v>
      </c>
      <c r="G58" s="67"/>
    </row>
    <row r="59" spans="1:7" ht="15">
      <c r="A59" s="67" t="s">
        <v>50</v>
      </c>
      <c r="B59" s="67"/>
      <c r="C59" s="125"/>
      <c r="D59" s="67"/>
      <c r="E59" s="67"/>
      <c r="F59" s="67"/>
      <c r="G59" s="67"/>
    </row>
    <row r="60" spans="1:7" ht="15">
      <c r="A60" s="67"/>
      <c r="B60" s="67"/>
      <c r="C60" s="127" t="s">
        <v>51</v>
      </c>
      <c r="D60" s="67"/>
      <c r="E60" s="128"/>
      <c r="F60" s="128"/>
      <c r="G60" s="128"/>
    </row>
  </sheetData>
  <sheetProtection/>
  <mergeCells count="44">
    <mergeCell ref="B54:C54"/>
    <mergeCell ref="F54:G54"/>
    <mergeCell ref="B53:C53"/>
    <mergeCell ref="B49:C49"/>
    <mergeCell ref="B50:C50"/>
    <mergeCell ref="F53:G53"/>
    <mergeCell ref="F42:G42"/>
    <mergeCell ref="B43:C43"/>
    <mergeCell ref="F39:G39"/>
    <mergeCell ref="B51:C51"/>
    <mergeCell ref="B52:C52"/>
    <mergeCell ref="F51:G51"/>
    <mergeCell ref="F48:G48"/>
    <mergeCell ref="F49:G49"/>
    <mergeCell ref="F50:G50"/>
    <mergeCell ref="F52:G52"/>
    <mergeCell ref="A37:G38"/>
    <mergeCell ref="A32:F32"/>
    <mergeCell ref="B40:C40"/>
    <mergeCell ref="F40:G40"/>
    <mergeCell ref="F47:G47"/>
    <mergeCell ref="F43:G43"/>
    <mergeCell ref="B39:C39"/>
    <mergeCell ref="B41:C41"/>
    <mergeCell ref="F41:G41"/>
    <mergeCell ref="B42:C42"/>
    <mergeCell ref="B55:C55"/>
    <mergeCell ref="F55:G55"/>
    <mergeCell ref="B44:C44"/>
    <mergeCell ref="F44:G44"/>
    <mergeCell ref="B45:C45"/>
    <mergeCell ref="F45:G45"/>
    <mergeCell ref="B46:C46"/>
    <mergeCell ref="B47:C47"/>
    <mergeCell ref="B48:C48"/>
    <mergeCell ref="F46:G46"/>
    <mergeCell ref="A11:K11"/>
    <mergeCell ref="A33:C33"/>
    <mergeCell ref="A1:K1"/>
    <mergeCell ref="A2:K2"/>
    <mergeCell ref="A3:K3"/>
    <mergeCell ref="A5:K5"/>
    <mergeCell ref="A9:K9"/>
    <mergeCell ref="A10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7030A0"/>
  </sheetPr>
  <dimension ref="A1:U69"/>
  <sheetViews>
    <sheetView zoomScale="98" zoomScaleNormal="98" zoomScalePageLayoutView="0" workbookViewId="0" topLeftCell="A53">
      <selection activeCell="B57" sqref="B57:C57"/>
    </sheetView>
  </sheetViews>
  <sheetFormatPr defaultColWidth="9.140625" defaultRowHeight="15" outlineLevelCol="1"/>
  <cols>
    <col min="1" max="1" width="6.00390625" style="57" customWidth="1"/>
    <col min="2" max="2" width="47.140625" style="57" customWidth="1"/>
    <col min="3" max="3" width="10.7109375" style="57" customWidth="1"/>
    <col min="4" max="4" width="14.8515625" style="57" customWidth="1"/>
    <col min="5" max="5" width="13.28125" style="57" customWidth="1"/>
    <col min="6" max="6" width="13.7109375" style="57" customWidth="1"/>
    <col min="7" max="7" width="13.57421875" style="57" customWidth="1"/>
    <col min="8" max="9" width="11.57421875" style="57" hidden="1" customWidth="1" outlineLevel="1"/>
    <col min="10" max="10" width="10.140625" style="57" hidden="1" customWidth="1" outlineLevel="1"/>
    <col min="11" max="11" width="11.8515625" style="57" customWidth="1" collapsed="1"/>
    <col min="12" max="12" width="10.710937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8" s="59" customFormat="1" ht="16.5" customHeight="1">
      <c r="A7" s="59" t="s">
        <v>2</v>
      </c>
      <c r="F7" s="60" t="s">
        <v>248</v>
      </c>
      <c r="H7" s="60"/>
    </row>
    <row r="8" spans="1:9" s="59" customFormat="1" ht="12.75">
      <c r="A8" s="59" t="s">
        <v>3</v>
      </c>
      <c r="F8" s="301" t="s">
        <v>376</v>
      </c>
      <c r="H8" s="60">
        <v>45.7</v>
      </c>
      <c r="I8" s="61">
        <f>9084.5+45.7</f>
        <v>9130.2</v>
      </c>
    </row>
    <row r="9" spans="2:9" s="59" customFormat="1" ht="12.75">
      <c r="B9" s="59" t="s">
        <v>507</v>
      </c>
      <c r="F9" s="301" t="s">
        <v>710</v>
      </c>
      <c r="H9" s="60"/>
      <c r="I9" s="61"/>
    </row>
    <row r="10" spans="1:11" s="59" customFormat="1" ht="12.7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11" s="59" customFormat="1" ht="12.7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473</v>
      </c>
      <c r="B14" s="64"/>
      <c r="C14" s="64"/>
      <c r="D14" s="69"/>
      <c r="E14" s="70"/>
      <c r="F14" s="70"/>
      <c r="G14" s="71">
        <f>'[2]Солнечный бульвар 20'!$G$36</f>
        <v>76346.85230000001</v>
      </c>
      <c r="H14" s="62"/>
      <c r="I14" s="62"/>
    </row>
    <row r="15" spans="1:9" s="67" customFormat="1" ht="15.75" thickBot="1">
      <c r="A15" s="63" t="s">
        <v>474</v>
      </c>
      <c r="B15" s="64"/>
      <c r="C15" s="64"/>
      <c r="D15" s="69"/>
      <c r="E15" s="70"/>
      <c r="F15" s="70"/>
      <c r="G15" s="71">
        <f>'[2]Солнечный бульвар 20'!$G$37</f>
        <v>311679.96999999986</v>
      </c>
      <c r="H15" s="62"/>
      <c r="I15" s="62"/>
    </row>
    <row r="16" s="59" customFormat="1" ht="6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14" s="59" customFormat="1" ht="28.5">
      <c r="A18" s="75" t="s">
        <v>14</v>
      </c>
      <c r="B18" s="41" t="s">
        <v>15</v>
      </c>
      <c r="C18" s="46">
        <f>C19+C20+C21+C22+C23</f>
        <v>13.84</v>
      </c>
      <c r="D18" s="76">
        <v>1517746.2</v>
      </c>
      <c r="E18" s="76">
        <v>1529167.54</v>
      </c>
      <c r="F18" s="76">
        <f aca="true" t="shared" si="0" ref="F18:F25">D18</f>
        <v>1517746.2</v>
      </c>
      <c r="G18" s="77">
        <f aca="true" t="shared" si="1" ref="G18:G23">D18-E18</f>
        <v>-11421.340000000084</v>
      </c>
      <c r="H18" s="78">
        <f aca="true" t="shared" si="2" ref="H18:H23">C18</f>
        <v>13.84</v>
      </c>
      <c r="I18" s="79"/>
      <c r="J18" s="79"/>
      <c r="K18" s="79"/>
      <c r="M18" s="78"/>
      <c r="N18" s="80"/>
    </row>
    <row r="19" spans="1:9" s="59" customFormat="1" ht="15">
      <c r="A19" s="81" t="s">
        <v>16</v>
      </c>
      <c r="B19" s="34" t="s">
        <v>17</v>
      </c>
      <c r="C19" s="82">
        <v>3.46</v>
      </c>
      <c r="D19" s="83">
        <f>D18*I19</f>
        <v>379436.55</v>
      </c>
      <c r="E19" s="83">
        <f>E18*I19</f>
        <v>382291.885</v>
      </c>
      <c r="F19" s="83">
        <f t="shared" si="0"/>
        <v>379436.55</v>
      </c>
      <c r="G19" s="84">
        <f t="shared" si="1"/>
        <v>-2855.335000000021</v>
      </c>
      <c r="H19" s="78">
        <f t="shared" si="2"/>
        <v>3.46</v>
      </c>
      <c r="I19" s="59">
        <f>H19/H18</f>
        <v>0.25</v>
      </c>
    </row>
    <row r="20" spans="1:9" s="59" customFormat="1" ht="15">
      <c r="A20" s="81" t="s">
        <v>18</v>
      </c>
      <c r="B20" s="34" t="s">
        <v>19</v>
      </c>
      <c r="C20" s="82">
        <v>1.69</v>
      </c>
      <c r="D20" s="83">
        <f>D18*I20</f>
        <v>185331.72528901734</v>
      </c>
      <c r="E20" s="83">
        <f>E18*I20</f>
        <v>186726.38313583814</v>
      </c>
      <c r="F20" s="83">
        <f t="shared" si="0"/>
        <v>185331.72528901734</v>
      </c>
      <c r="G20" s="84">
        <f t="shared" si="1"/>
        <v>-1394.6578468208027</v>
      </c>
      <c r="H20" s="78">
        <f t="shared" si="2"/>
        <v>1.69</v>
      </c>
      <c r="I20" s="59">
        <f>H20/H18</f>
        <v>0.12210982658959538</v>
      </c>
    </row>
    <row r="21" spans="1:9" s="59" customFormat="1" ht="15">
      <c r="A21" s="81" t="s">
        <v>20</v>
      </c>
      <c r="B21" s="34" t="s">
        <v>21</v>
      </c>
      <c r="C21" s="82">
        <v>2.15</v>
      </c>
      <c r="D21" s="83">
        <f>D18*I21</f>
        <v>235777.04696531792</v>
      </c>
      <c r="E21" s="83">
        <f>E18*I21</f>
        <v>237551.31582369943</v>
      </c>
      <c r="F21" s="83">
        <f t="shared" si="0"/>
        <v>235777.04696531792</v>
      </c>
      <c r="G21" s="84">
        <f t="shared" si="1"/>
        <v>-1774.268858381518</v>
      </c>
      <c r="H21" s="78">
        <f t="shared" si="2"/>
        <v>2.15</v>
      </c>
      <c r="I21" s="59">
        <f>H21/H18</f>
        <v>0.15534682080924855</v>
      </c>
    </row>
    <row r="22" spans="1:9" s="59" customFormat="1" ht="15">
      <c r="A22" s="81" t="s">
        <v>22</v>
      </c>
      <c r="B22" s="34" t="s">
        <v>23</v>
      </c>
      <c r="C22" s="82">
        <v>3.04</v>
      </c>
      <c r="D22" s="83">
        <f>D18*I22</f>
        <v>333377.7780346821</v>
      </c>
      <c r="E22" s="83">
        <f>E18*I22</f>
        <v>335886.5116763006</v>
      </c>
      <c r="F22" s="83">
        <f t="shared" si="0"/>
        <v>333377.7780346821</v>
      </c>
      <c r="G22" s="84">
        <f t="shared" si="1"/>
        <v>-2508.7336416185135</v>
      </c>
      <c r="H22" s="78">
        <f t="shared" si="2"/>
        <v>3.04</v>
      </c>
      <c r="I22" s="59">
        <f>H22/H18</f>
        <v>0.21965317919075145</v>
      </c>
    </row>
    <row r="23" spans="1:9" s="59" customFormat="1" ht="15">
      <c r="A23" s="81" t="s">
        <v>24</v>
      </c>
      <c r="B23" s="34" t="s">
        <v>180</v>
      </c>
      <c r="C23" s="85">
        <v>3.5</v>
      </c>
      <c r="D23" s="83">
        <f>D18*I23</f>
        <v>383823.0997109827</v>
      </c>
      <c r="E23" s="83">
        <f>E18*I23</f>
        <v>386711.4443641619</v>
      </c>
      <c r="F23" s="83">
        <f t="shared" si="0"/>
        <v>383823.0997109827</v>
      </c>
      <c r="G23" s="84">
        <f t="shared" si="1"/>
        <v>-2888.3446531791706</v>
      </c>
      <c r="H23" s="78">
        <f t="shared" si="2"/>
        <v>3.5</v>
      </c>
      <c r="I23" s="59">
        <f>H23/H18</f>
        <v>0.25289017341040465</v>
      </c>
    </row>
    <row r="24" spans="1:11" s="89" customFormat="1" ht="14.25">
      <c r="A24" s="86" t="s">
        <v>25</v>
      </c>
      <c r="B24" s="86" t="s">
        <v>26</v>
      </c>
      <c r="C24" s="46">
        <v>3.86</v>
      </c>
      <c r="D24" s="87">
        <v>419251.68</v>
      </c>
      <c r="E24" s="87">
        <v>422425.15</v>
      </c>
      <c r="F24" s="87">
        <f t="shared" si="0"/>
        <v>419251.68</v>
      </c>
      <c r="G24" s="77">
        <f aca="true" t="shared" si="3" ref="G24:G33">D24-E24</f>
        <v>-3173.4700000000303</v>
      </c>
      <c r="H24" s="88"/>
      <c r="I24" s="88"/>
      <c r="J24" s="88"/>
      <c r="K24" s="88"/>
    </row>
    <row r="25" spans="1:11" s="89" customFormat="1" ht="14.25">
      <c r="A25" s="86" t="s">
        <v>27</v>
      </c>
      <c r="B25" s="86" t="s">
        <v>28</v>
      </c>
      <c r="C25" s="46">
        <v>0</v>
      </c>
      <c r="D25" s="87">
        <v>0</v>
      </c>
      <c r="E25" s="87">
        <v>0</v>
      </c>
      <c r="F25" s="87">
        <f t="shared" si="0"/>
        <v>0</v>
      </c>
      <c r="G25" s="77">
        <f t="shared" si="3"/>
        <v>0</v>
      </c>
      <c r="H25" s="88"/>
      <c r="I25" s="88"/>
      <c r="J25" s="88"/>
      <c r="K25" s="88"/>
    </row>
    <row r="26" spans="1:21" s="89" customFormat="1" ht="28.5">
      <c r="A26" s="86" t="s">
        <v>29</v>
      </c>
      <c r="B26" s="86" t="s">
        <v>331</v>
      </c>
      <c r="C26" s="46">
        <v>7.12</v>
      </c>
      <c r="D26" s="90">
        <v>773334.96</v>
      </c>
      <c r="E26" s="90">
        <v>779220.75</v>
      </c>
      <c r="F26" s="87">
        <f>F62</f>
        <v>507600</v>
      </c>
      <c r="G26" s="77">
        <f>D26-E26</f>
        <v>-5885.790000000037</v>
      </c>
      <c r="H26" s="88"/>
      <c r="I26" s="88"/>
      <c r="J26" s="88"/>
      <c r="K26" s="91"/>
      <c r="L26" s="91"/>
      <c r="M26" s="92"/>
      <c r="N26" s="633"/>
      <c r="O26" s="633"/>
      <c r="P26" s="94"/>
      <c r="Q26" s="94"/>
      <c r="R26" s="636"/>
      <c r="S26" s="636"/>
      <c r="T26" s="92"/>
      <c r="U26" s="92"/>
    </row>
    <row r="27" spans="1:12" s="89" customFormat="1" ht="14.25">
      <c r="A27" s="86" t="s">
        <v>31</v>
      </c>
      <c r="B27" s="86" t="s">
        <v>116</v>
      </c>
      <c r="C27" s="95">
        <v>2.06</v>
      </c>
      <c r="D27" s="87">
        <v>837253.5</v>
      </c>
      <c r="E27" s="87">
        <v>810398.38</v>
      </c>
      <c r="F27" s="87">
        <f>F42</f>
        <v>322423.9838</v>
      </c>
      <c r="G27" s="77">
        <f t="shared" si="3"/>
        <v>26855.119999999995</v>
      </c>
      <c r="H27" s="88"/>
      <c r="I27" s="88"/>
      <c r="J27" s="88"/>
      <c r="K27" s="96"/>
      <c r="L27" s="96"/>
    </row>
    <row r="28" spans="1:11" ht="14.25">
      <c r="A28" s="41" t="s">
        <v>33</v>
      </c>
      <c r="B28" s="41" t="s">
        <v>161</v>
      </c>
      <c r="C28" s="97" t="s">
        <v>313</v>
      </c>
      <c r="D28" s="77"/>
      <c r="E28" s="77"/>
      <c r="F28" s="87">
        <f>D28</f>
        <v>0</v>
      </c>
      <c r="G28" s="77">
        <f t="shared" si="3"/>
        <v>0</v>
      </c>
      <c r="H28" s="98"/>
      <c r="I28" s="98"/>
      <c r="J28" s="98"/>
      <c r="K28" s="98"/>
    </row>
    <row r="29" spans="1:11" ht="14.25">
      <c r="A29" s="41" t="s">
        <v>35</v>
      </c>
      <c r="B29" s="41" t="s">
        <v>36</v>
      </c>
      <c r="C29" s="97">
        <v>0</v>
      </c>
      <c r="D29" s="77">
        <f>SUM(D30:D33)</f>
        <v>3694553.14</v>
      </c>
      <c r="E29" s="77">
        <f>SUM(E30:E33)</f>
        <v>3707463.8600000003</v>
      </c>
      <c r="F29" s="77">
        <f>SUM(F30:F33)</f>
        <v>3694553.14</v>
      </c>
      <c r="G29" s="77">
        <f t="shared" si="3"/>
        <v>-12910.720000000205</v>
      </c>
      <c r="H29" s="98"/>
      <c r="I29" s="98"/>
      <c r="J29" s="98"/>
      <c r="K29" s="98"/>
    </row>
    <row r="30" spans="1:7" ht="15">
      <c r="A30" s="34" t="s">
        <v>37</v>
      </c>
      <c r="B30" s="34" t="s">
        <v>237</v>
      </c>
      <c r="C30" s="293">
        <v>4.2</v>
      </c>
      <c r="D30" s="84">
        <v>563605.68</v>
      </c>
      <c r="E30" s="84">
        <v>560961.01</v>
      </c>
      <c r="F30" s="84">
        <f>D30</f>
        <v>563605.68</v>
      </c>
      <c r="G30" s="84">
        <f t="shared" si="3"/>
        <v>2644.670000000042</v>
      </c>
    </row>
    <row r="31" spans="1:7" ht="15">
      <c r="A31" s="34" t="s">
        <v>39</v>
      </c>
      <c r="B31" s="34" t="s">
        <v>137</v>
      </c>
      <c r="C31" s="285">
        <v>57.08</v>
      </c>
      <c r="D31" s="84">
        <v>832388.6</v>
      </c>
      <c r="E31" s="84">
        <v>830270.29</v>
      </c>
      <c r="F31" s="84">
        <f>D31</f>
        <v>832388.6</v>
      </c>
      <c r="G31" s="84">
        <f t="shared" si="3"/>
        <v>2118.3099999999395</v>
      </c>
    </row>
    <row r="32" spans="1:7" ht="26.25">
      <c r="A32" s="34" t="s">
        <v>42</v>
      </c>
      <c r="B32" s="34" t="s">
        <v>340</v>
      </c>
      <c r="C32" s="49" t="s">
        <v>238</v>
      </c>
      <c r="D32" s="84">
        <v>839858.51</v>
      </c>
      <c r="E32" s="84">
        <v>839247.47</v>
      </c>
      <c r="F32" s="84">
        <f>D32</f>
        <v>839858.51</v>
      </c>
      <c r="G32" s="84">
        <f t="shared" si="3"/>
        <v>611.0400000000373</v>
      </c>
    </row>
    <row r="33" spans="1:11" ht="26.25">
      <c r="A33" s="34" t="s">
        <v>41</v>
      </c>
      <c r="B33" s="34" t="s">
        <v>43</v>
      </c>
      <c r="C33" s="49" t="s">
        <v>238</v>
      </c>
      <c r="D33" s="84">
        <v>1458700.35</v>
      </c>
      <c r="E33" s="84">
        <v>1476985.09</v>
      </c>
      <c r="F33" s="84">
        <f>D33</f>
        <v>1458700.35</v>
      </c>
      <c r="G33" s="84">
        <f t="shared" si="3"/>
        <v>-18284.73999999999</v>
      </c>
      <c r="K33" s="96"/>
    </row>
    <row r="34" spans="1:9" s="102" customFormat="1" ht="18" customHeight="1" thickBot="1">
      <c r="A34" s="446" t="s">
        <v>294</v>
      </c>
      <c r="B34" s="447"/>
      <c r="C34" s="447"/>
      <c r="D34" s="448"/>
      <c r="E34" s="448"/>
      <c r="F34" s="448"/>
      <c r="G34" s="101"/>
      <c r="H34" s="101"/>
      <c r="I34" s="101"/>
    </row>
    <row r="35" spans="1:9" s="67" customFormat="1" ht="15.75" thickBot="1">
      <c r="A35" s="455" t="s">
        <v>413</v>
      </c>
      <c r="B35" s="456"/>
      <c r="C35" s="456"/>
      <c r="D35" s="65">
        <v>1169850.4</v>
      </c>
      <c r="E35" s="66"/>
      <c r="F35" s="66"/>
      <c r="G35" s="66"/>
      <c r="H35" s="62"/>
      <c r="I35" s="62"/>
    </row>
    <row r="36" spans="1:9" s="67" customFormat="1" ht="6" customHeight="1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11" s="67" customFormat="1" ht="15.75" thickBot="1">
      <c r="A37" s="63" t="s">
        <v>415</v>
      </c>
      <c r="B37" s="64"/>
      <c r="C37" s="64"/>
      <c r="D37" s="69"/>
      <c r="E37" s="70"/>
      <c r="F37" s="70"/>
      <c r="G37" s="71">
        <f>G14+E27-F27</f>
        <v>564321.2485</v>
      </c>
      <c r="H37" s="62"/>
      <c r="I37" s="62"/>
      <c r="K37" s="103"/>
    </row>
    <row r="38" spans="1:11" s="67" customFormat="1" ht="15.75" thickBot="1">
      <c r="A38" s="63" t="s">
        <v>475</v>
      </c>
      <c r="B38" s="63"/>
      <c r="C38" s="64"/>
      <c r="D38" s="69"/>
      <c r="E38" s="70"/>
      <c r="F38" s="70"/>
      <c r="G38" s="71">
        <f>G15+E26-F26</f>
        <v>583300.7199999997</v>
      </c>
      <c r="H38" s="62"/>
      <c r="I38" s="62"/>
      <c r="K38" s="103"/>
    </row>
    <row r="39" spans="1:11" ht="31.5" customHeight="1">
      <c r="A39" s="444" t="s">
        <v>179</v>
      </c>
      <c r="B39" s="481"/>
      <c r="C39" s="481"/>
      <c r="D39" s="481"/>
      <c r="E39" s="481"/>
      <c r="F39" s="481"/>
      <c r="G39" s="481"/>
      <c r="H39" s="62"/>
      <c r="I39" s="62"/>
      <c r="J39" s="62"/>
      <c r="K39" s="62"/>
    </row>
    <row r="41" spans="1:12" s="74" customFormat="1" ht="37.5" customHeight="1">
      <c r="A41" s="105" t="s">
        <v>11</v>
      </c>
      <c r="B41" s="471" t="s">
        <v>45</v>
      </c>
      <c r="C41" s="484"/>
      <c r="D41" s="105" t="s">
        <v>163</v>
      </c>
      <c r="E41" s="105" t="s">
        <v>162</v>
      </c>
      <c r="F41" s="598" t="s">
        <v>46</v>
      </c>
      <c r="G41" s="598"/>
      <c r="H41" s="106"/>
      <c r="I41" s="107"/>
      <c r="L41" s="108"/>
    </row>
    <row r="42" spans="1:12" s="114" customFormat="1" ht="15" customHeight="1">
      <c r="A42" s="109" t="s">
        <v>47</v>
      </c>
      <c r="B42" s="473" t="s">
        <v>111</v>
      </c>
      <c r="C42" s="491"/>
      <c r="D42" s="110"/>
      <c r="E42" s="110"/>
      <c r="F42" s="611">
        <f>SUM(F43:G61)</f>
        <v>322423.9838</v>
      </c>
      <c r="G42" s="612"/>
      <c r="H42" s="112"/>
      <c r="I42" s="113"/>
      <c r="L42" s="115"/>
    </row>
    <row r="43" spans="1:12" ht="27" customHeight="1">
      <c r="A43" s="34" t="s">
        <v>16</v>
      </c>
      <c r="B43" s="462" t="s">
        <v>711</v>
      </c>
      <c r="C43" s="489"/>
      <c r="D43" s="403" t="s">
        <v>391</v>
      </c>
      <c r="E43" s="403">
        <v>4</v>
      </c>
      <c r="F43" s="525">
        <v>8400</v>
      </c>
      <c r="G43" s="526"/>
      <c r="H43" s="40"/>
      <c r="I43" s="40"/>
      <c r="L43" s="119"/>
    </row>
    <row r="44" spans="1:12" ht="17.25" customHeight="1">
      <c r="A44" s="34" t="s">
        <v>18</v>
      </c>
      <c r="B44" s="462" t="s">
        <v>712</v>
      </c>
      <c r="C44" s="489"/>
      <c r="D44" s="403" t="s">
        <v>391</v>
      </c>
      <c r="E44" s="403">
        <v>8</v>
      </c>
      <c r="F44" s="525">
        <v>11200</v>
      </c>
      <c r="G44" s="526"/>
      <c r="H44" s="40"/>
      <c r="I44" s="40"/>
      <c r="L44" s="119"/>
    </row>
    <row r="45" spans="1:12" ht="17.25" customHeight="1">
      <c r="A45" s="34" t="s">
        <v>20</v>
      </c>
      <c r="B45" s="462" t="s">
        <v>713</v>
      </c>
      <c r="C45" s="489"/>
      <c r="D45" s="403" t="s">
        <v>164</v>
      </c>
      <c r="E45" s="403">
        <v>5</v>
      </c>
      <c r="F45" s="497">
        <v>17570</v>
      </c>
      <c r="G45" s="497"/>
      <c r="H45" s="40"/>
      <c r="I45" s="40"/>
      <c r="L45" s="119"/>
    </row>
    <row r="46" spans="1:12" ht="19.5" customHeight="1">
      <c r="A46" s="34" t="s">
        <v>22</v>
      </c>
      <c r="B46" s="462" t="s">
        <v>714</v>
      </c>
      <c r="C46" s="498"/>
      <c r="D46" s="403"/>
      <c r="E46" s="405"/>
      <c r="F46" s="497"/>
      <c r="G46" s="497"/>
      <c r="H46" s="40"/>
      <c r="I46" s="40"/>
      <c r="L46" s="119"/>
    </row>
    <row r="47" spans="1:12" ht="16.5" customHeight="1">
      <c r="A47" s="34" t="s">
        <v>24</v>
      </c>
      <c r="B47" s="462" t="s">
        <v>647</v>
      </c>
      <c r="C47" s="498"/>
      <c r="D47" s="407" t="s">
        <v>164</v>
      </c>
      <c r="E47" s="407">
        <v>3</v>
      </c>
      <c r="F47" s="634">
        <v>3600</v>
      </c>
      <c r="G47" s="635"/>
      <c r="H47" s="275"/>
      <c r="I47" s="275"/>
      <c r="L47" s="119"/>
    </row>
    <row r="48" spans="1:12" ht="15">
      <c r="A48" s="34" t="s">
        <v>103</v>
      </c>
      <c r="B48" s="462" t="s">
        <v>715</v>
      </c>
      <c r="C48" s="498"/>
      <c r="D48" s="407" t="s">
        <v>716</v>
      </c>
      <c r="E48" s="407">
        <v>3</v>
      </c>
      <c r="F48" s="634">
        <v>13500</v>
      </c>
      <c r="G48" s="635"/>
      <c r="H48" s="275"/>
      <c r="I48" s="275"/>
      <c r="L48" s="119"/>
    </row>
    <row r="49" spans="1:7" ht="36.75" customHeight="1">
      <c r="A49" s="34" t="s">
        <v>104</v>
      </c>
      <c r="B49" s="462" t="s">
        <v>717</v>
      </c>
      <c r="C49" s="498"/>
      <c r="D49" s="338" t="s">
        <v>164</v>
      </c>
      <c r="E49" s="338">
        <v>1</v>
      </c>
      <c r="F49" s="497">
        <v>67780</v>
      </c>
      <c r="G49" s="497"/>
    </row>
    <row r="50" spans="1:7" ht="15">
      <c r="A50" s="34" t="s">
        <v>117</v>
      </c>
      <c r="B50" s="462" t="s">
        <v>718</v>
      </c>
      <c r="C50" s="498"/>
      <c r="D50" s="338"/>
      <c r="E50" s="338"/>
      <c r="F50" s="592"/>
      <c r="G50" s="592"/>
    </row>
    <row r="51" spans="1:7" ht="15">
      <c r="A51" s="34" t="s">
        <v>118</v>
      </c>
      <c r="B51" s="462" t="s">
        <v>394</v>
      </c>
      <c r="C51" s="498"/>
      <c r="D51" s="338" t="s">
        <v>164</v>
      </c>
      <c r="E51" s="338">
        <v>6</v>
      </c>
      <c r="F51" s="497">
        <v>12804</v>
      </c>
      <c r="G51" s="497"/>
    </row>
    <row r="52" spans="1:7" ht="15">
      <c r="A52" s="34" t="s">
        <v>119</v>
      </c>
      <c r="B52" s="462" t="s">
        <v>719</v>
      </c>
      <c r="C52" s="498"/>
      <c r="D52" s="338" t="s">
        <v>164</v>
      </c>
      <c r="E52" s="338">
        <v>1</v>
      </c>
      <c r="F52" s="497">
        <v>4260</v>
      </c>
      <c r="G52" s="497"/>
    </row>
    <row r="53" spans="1:7" ht="15">
      <c r="A53" s="34" t="s">
        <v>139</v>
      </c>
      <c r="B53" s="462" t="s">
        <v>720</v>
      </c>
      <c r="C53" s="498"/>
      <c r="D53" s="338"/>
      <c r="E53" s="338"/>
      <c r="F53" s="497">
        <v>12066</v>
      </c>
      <c r="G53" s="497"/>
    </row>
    <row r="54" spans="1:7" ht="15">
      <c r="A54" s="34" t="s">
        <v>141</v>
      </c>
      <c r="B54" s="462" t="s">
        <v>721</v>
      </c>
      <c r="C54" s="498"/>
      <c r="D54" s="338"/>
      <c r="E54" s="338"/>
      <c r="F54" s="497">
        <v>20130</v>
      </c>
      <c r="G54" s="497"/>
    </row>
    <row r="55" spans="1:7" ht="15">
      <c r="A55" s="34" t="s">
        <v>142</v>
      </c>
      <c r="B55" s="462" t="s">
        <v>654</v>
      </c>
      <c r="C55" s="498"/>
      <c r="D55" s="338"/>
      <c r="E55" s="338"/>
      <c r="F55" s="497">
        <v>45000</v>
      </c>
      <c r="G55" s="497"/>
    </row>
    <row r="56" spans="1:7" ht="15">
      <c r="A56" s="34" t="s">
        <v>257</v>
      </c>
      <c r="B56" s="462" t="s">
        <v>821</v>
      </c>
      <c r="C56" s="498"/>
      <c r="D56" s="338" t="s">
        <v>164</v>
      </c>
      <c r="E56" s="338">
        <v>2</v>
      </c>
      <c r="F56" s="497">
        <v>17300</v>
      </c>
      <c r="G56" s="497"/>
    </row>
    <row r="57" spans="1:7" ht="15">
      <c r="A57" s="34" t="s">
        <v>281</v>
      </c>
      <c r="B57" s="493" t="s">
        <v>829</v>
      </c>
      <c r="C57" s="640"/>
      <c r="D57" s="338" t="s">
        <v>164</v>
      </c>
      <c r="E57" s="338">
        <v>6</v>
      </c>
      <c r="F57" s="497">
        <v>39750</v>
      </c>
      <c r="G57" s="497"/>
    </row>
    <row r="58" spans="1:7" ht="15">
      <c r="A58" s="34" t="s">
        <v>284</v>
      </c>
      <c r="B58" s="462" t="s">
        <v>406</v>
      </c>
      <c r="C58" s="498"/>
      <c r="D58" s="338"/>
      <c r="E58" s="338"/>
      <c r="F58" s="497">
        <v>12000</v>
      </c>
      <c r="G58" s="497"/>
    </row>
    <row r="59" spans="1:7" ht="15">
      <c r="A59" s="34" t="s">
        <v>285</v>
      </c>
      <c r="B59" s="462" t="s">
        <v>823</v>
      </c>
      <c r="C59" s="498"/>
      <c r="D59" s="338" t="s">
        <v>164</v>
      </c>
      <c r="E59" s="338">
        <v>2</v>
      </c>
      <c r="F59" s="497">
        <v>6560</v>
      </c>
      <c r="G59" s="497"/>
    </row>
    <row r="60" spans="1:7" ht="15">
      <c r="A60" s="34" t="s">
        <v>286</v>
      </c>
      <c r="B60" s="449" t="s">
        <v>814</v>
      </c>
      <c r="C60" s="641"/>
      <c r="D60" s="124" t="s">
        <v>391</v>
      </c>
      <c r="E60" s="124">
        <v>8</v>
      </c>
      <c r="F60" s="495">
        <v>22400</v>
      </c>
      <c r="G60" s="495"/>
    </row>
    <row r="61" spans="1:7" ht="15">
      <c r="A61" s="34" t="s">
        <v>822</v>
      </c>
      <c r="B61" s="511" t="s">
        <v>188</v>
      </c>
      <c r="C61" s="512"/>
      <c r="D61" s="110"/>
      <c r="E61" s="110"/>
      <c r="F61" s="637">
        <f>E27*1%</f>
        <v>8103.9838</v>
      </c>
      <c r="G61" s="638"/>
    </row>
    <row r="62" spans="1:7" ht="15">
      <c r="A62" s="109" t="s">
        <v>25</v>
      </c>
      <c r="B62" s="473" t="s">
        <v>331</v>
      </c>
      <c r="C62" s="491"/>
      <c r="D62" s="110"/>
      <c r="E62" s="110"/>
      <c r="F62" s="611">
        <f>SUM(F63:F63)</f>
        <v>507600</v>
      </c>
      <c r="G62" s="639"/>
    </row>
    <row r="63" spans="1:7" ht="15">
      <c r="A63" s="34" t="s">
        <v>279</v>
      </c>
      <c r="B63" s="449" t="s">
        <v>239</v>
      </c>
      <c r="C63" s="451"/>
      <c r="D63" s="124"/>
      <c r="E63" s="124"/>
      <c r="F63" s="495">
        <f>(42300*12)</f>
        <v>507600</v>
      </c>
      <c r="G63" s="495"/>
    </row>
    <row r="64" spans="1:7" ht="15">
      <c r="A64" s="168"/>
      <c r="B64" s="179"/>
      <c r="C64" s="179"/>
      <c r="D64" s="94"/>
      <c r="E64" s="94"/>
      <c r="F64" s="180"/>
      <c r="G64" s="180"/>
    </row>
    <row r="65" spans="1:7" ht="15">
      <c r="A65" s="67" t="s">
        <v>55</v>
      </c>
      <c r="B65" s="59"/>
      <c r="C65" s="59"/>
      <c r="D65" s="67"/>
      <c r="E65" s="67"/>
      <c r="F65" s="67" t="s">
        <v>90</v>
      </c>
      <c r="G65" s="67"/>
    </row>
    <row r="66" spans="1:7" ht="15">
      <c r="A66" s="67"/>
      <c r="B66" s="67"/>
      <c r="C66" s="125" t="s">
        <v>49</v>
      </c>
      <c r="D66" s="67"/>
      <c r="E66" s="67"/>
      <c r="F66" s="126" t="s">
        <v>545</v>
      </c>
      <c r="G66" s="67"/>
    </row>
    <row r="67" spans="1:7" ht="15">
      <c r="A67" s="67" t="s">
        <v>50</v>
      </c>
      <c r="B67" s="67"/>
      <c r="C67" s="125"/>
      <c r="D67" s="67"/>
      <c r="E67" s="67"/>
      <c r="F67" s="67"/>
      <c r="G67" s="67"/>
    </row>
    <row r="68" spans="1:7" ht="15">
      <c r="A68" s="67"/>
      <c r="B68" s="67"/>
      <c r="C68" s="125"/>
      <c r="D68" s="67"/>
      <c r="E68" s="128"/>
      <c r="F68" s="128"/>
      <c r="G68" s="128"/>
    </row>
    <row r="69" spans="2:3" ht="15">
      <c r="B69" s="67"/>
      <c r="C69" s="127" t="s">
        <v>51</v>
      </c>
    </row>
  </sheetData>
  <sheetProtection/>
  <mergeCells count="58">
    <mergeCell ref="B60:C60"/>
    <mergeCell ref="F60:G60"/>
    <mergeCell ref="B59:C59"/>
    <mergeCell ref="F53:G53"/>
    <mergeCell ref="F54:G54"/>
    <mergeCell ref="F55:G55"/>
    <mergeCell ref="F56:G56"/>
    <mergeCell ref="F57:G57"/>
    <mergeCell ref="F58:G58"/>
    <mergeCell ref="F59:G59"/>
    <mergeCell ref="B53:C53"/>
    <mergeCell ref="B54:C54"/>
    <mergeCell ref="B49:C49"/>
    <mergeCell ref="B55:C55"/>
    <mergeCell ref="B56:C56"/>
    <mergeCell ref="B57:C57"/>
    <mergeCell ref="B58:C58"/>
    <mergeCell ref="B46:C46"/>
    <mergeCell ref="B50:C50"/>
    <mergeCell ref="B51:C51"/>
    <mergeCell ref="B52:C52"/>
    <mergeCell ref="F61:G61"/>
    <mergeCell ref="F63:G63"/>
    <mergeCell ref="B62:C62"/>
    <mergeCell ref="F62:G62"/>
    <mergeCell ref="B63:C63"/>
    <mergeCell ref="B61:C61"/>
    <mergeCell ref="R26:S26"/>
    <mergeCell ref="A35:C35"/>
    <mergeCell ref="A39:G39"/>
    <mergeCell ref="A34:F34"/>
    <mergeCell ref="B48:C48"/>
    <mergeCell ref="B45:C45"/>
    <mergeCell ref="B47:C47"/>
    <mergeCell ref="F50:G50"/>
    <mergeCell ref="F51:G51"/>
    <mergeCell ref="F52:G52"/>
    <mergeCell ref="F45:G45"/>
    <mergeCell ref="N26:O26"/>
    <mergeCell ref="F42:G42"/>
    <mergeCell ref="F48:G48"/>
    <mergeCell ref="F46:G46"/>
    <mergeCell ref="F49:G49"/>
    <mergeCell ref="F47:G47"/>
    <mergeCell ref="A12:K12"/>
    <mergeCell ref="B43:C43"/>
    <mergeCell ref="B41:C41"/>
    <mergeCell ref="F41:G41"/>
    <mergeCell ref="B44:C44"/>
    <mergeCell ref="F44:G44"/>
    <mergeCell ref="F43:G43"/>
    <mergeCell ref="B42:C42"/>
    <mergeCell ref="A1:K1"/>
    <mergeCell ref="A2:K2"/>
    <mergeCell ref="A3:K3"/>
    <mergeCell ref="A5:K5"/>
    <mergeCell ref="A10:K10"/>
    <mergeCell ref="A11:K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7030A0"/>
  </sheetPr>
  <dimension ref="A1:U63"/>
  <sheetViews>
    <sheetView zoomScale="98" zoomScaleNormal="98" zoomScalePageLayoutView="0" workbookViewId="0" topLeftCell="A44">
      <selection activeCell="A56" sqref="A56"/>
    </sheetView>
  </sheetViews>
  <sheetFormatPr defaultColWidth="9.140625" defaultRowHeight="15" outlineLevelCol="1"/>
  <cols>
    <col min="1" max="1" width="6.00390625" style="57" customWidth="1"/>
    <col min="2" max="2" width="47.140625" style="57" customWidth="1"/>
    <col min="3" max="3" width="10.7109375" style="57" customWidth="1"/>
    <col min="4" max="4" width="14.8515625" style="57" customWidth="1"/>
    <col min="5" max="5" width="13.28125" style="57" customWidth="1"/>
    <col min="6" max="6" width="13.7109375" style="57" customWidth="1"/>
    <col min="7" max="7" width="13.57421875" style="57" customWidth="1"/>
    <col min="8" max="9" width="11.57421875" style="57" hidden="1" customWidth="1" outlineLevel="1"/>
    <col min="10" max="10" width="10.140625" style="57" hidden="1" customWidth="1" outlineLevel="1"/>
    <col min="11" max="11" width="11.8515625" style="57" customWidth="1" collapsed="1"/>
    <col min="12" max="12" width="10.710937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8" s="59" customFormat="1" ht="16.5" customHeight="1">
      <c r="A7" s="59" t="s">
        <v>2</v>
      </c>
      <c r="F7" s="60" t="s">
        <v>186</v>
      </c>
      <c r="H7" s="60"/>
    </row>
    <row r="8" spans="1:8" s="59" customFormat="1" ht="12.75">
      <c r="A8" s="59" t="s">
        <v>3</v>
      </c>
      <c r="F8" s="301" t="s">
        <v>314</v>
      </c>
      <c r="H8" s="60"/>
    </row>
    <row r="9" spans="1:11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431</v>
      </c>
      <c r="B13" s="64"/>
      <c r="C13" s="64"/>
      <c r="D13" s="69"/>
      <c r="E13" s="70"/>
      <c r="F13" s="70"/>
      <c r="G13" s="71">
        <f>'[2]Грабцевское шоссе 132 корп.1'!$G$38</f>
        <v>-528831.879309329</v>
      </c>
      <c r="H13" s="62"/>
      <c r="I13" s="62"/>
    </row>
    <row r="14" spans="1:9" s="67" customFormat="1" ht="15.75" thickBot="1">
      <c r="A14" s="63" t="s">
        <v>377</v>
      </c>
      <c r="B14" s="64"/>
      <c r="C14" s="64"/>
      <c r="D14" s="69"/>
      <c r="E14" s="70"/>
      <c r="F14" s="70"/>
      <c r="G14" s="71">
        <f>'[2]Грабцевское шоссе 132 корп.1'!$G$39</f>
        <v>372853.58999999985</v>
      </c>
      <c r="H14" s="62"/>
      <c r="I14" s="62"/>
    </row>
    <row r="15" s="59" customFormat="1" ht="6.75" customHeight="1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</row>
    <row r="17" spans="1:14" s="59" customFormat="1" ht="28.5">
      <c r="A17" s="75" t="s">
        <v>14</v>
      </c>
      <c r="B17" s="41" t="s">
        <v>15</v>
      </c>
      <c r="C17" s="46">
        <f>C18+C19+C20+C21+C22</f>
        <v>12.46</v>
      </c>
      <c r="D17" s="76">
        <v>1370979.42</v>
      </c>
      <c r="E17" s="76">
        <v>1394177.56</v>
      </c>
      <c r="F17" s="76">
        <f aca="true" t="shared" si="0" ref="F17:F24">D17</f>
        <v>1370979.42</v>
      </c>
      <c r="G17" s="77">
        <f aca="true" t="shared" si="1" ref="G17:G22">D17-E17</f>
        <v>-23198.14000000013</v>
      </c>
      <c r="H17" s="78">
        <f aca="true" t="shared" si="2" ref="H17:H22">C17</f>
        <v>12.46</v>
      </c>
      <c r="I17" s="79"/>
      <c r="J17" s="79"/>
      <c r="K17" s="79"/>
      <c r="M17" s="78"/>
      <c r="N17" s="80"/>
    </row>
    <row r="18" spans="1:9" s="59" customFormat="1" ht="15">
      <c r="A18" s="81" t="s">
        <v>16</v>
      </c>
      <c r="B18" s="34" t="s">
        <v>17</v>
      </c>
      <c r="C18" s="82">
        <v>3.46</v>
      </c>
      <c r="D18" s="83">
        <f>D17*I18</f>
        <v>380705.36060995184</v>
      </c>
      <c r="E18" s="83">
        <f>E17*I18</f>
        <v>387147.2197110754</v>
      </c>
      <c r="F18" s="83">
        <f t="shared" si="0"/>
        <v>380705.36060995184</v>
      </c>
      <c r="G18" s="84">
        <f t="shared" si="1"/>
        <v>-6441.859101123584</v>
      </c>
      <c r="H18" s="78">
        <f t="shared" si="2"/>
        <v>3.46</v>
      </c>
      <c r="I18" s="59">
        <f>H18/H17</f>
        <v>0.27768860353130015</v>
      </c>
    </row>
    <row r="19" spans="1:9" s="59" customFormat="1" ht="15">
      <c r="A19" s="81" t="s">
        <v>18</v>
      </c>
      <c r="B19" s="34" t="s">
        <v>19</v>
      </c>
      <c r="C19" s="82">
        <v>1.69</v>
      </c>
      <c r="D19" s="83">
        <f>D17*I19</f>
        <v>185951.46226324234</v>
      </c>
      <c r="E19" s="83">
        <f>E17*I19</f>
        <v>189097.9194542536</v>
      </c>
      <c r="F19" s="83">
        <f t="shared" si="0"/>
        <v>185951.46226324234</v>
      </c>
      <c r="G19" s="84">
        <f t="shared" si="1"/>
        <v>-3146.4571910112572</v>
      </c>
      <c r="H19" s="78">
        <f t="shared" si="2"/>
        <v>1.69</v>
      </c>
      <c r="I19" s="59">
        <f>H19/H17</f>
        <v>0.13563402889245585</v>
      </c>
    </row>
    <row r="20" spans="1:9" s="59" customFormat="1" ht="15">
      <c r="A20" s="81" t="s">
        <v>20</v>
      </c>
      <c r="B20" s="34" t="s">
        <v>21</v>
      </c>
      <c r="C20" s="82">
        <v>2.15</v>
      </c>
      <c r="D20" s="83">
        <f>D17*I20</f>
        <v>236565.46974317814</v>
      </c>
      <c r="E20" s="83">
        <f>E17*I20</f>
        <v>240568.35906902087</v>
      </c>
      <c r="F20" s="83">
        <f t="shared" si="0"/>
        <v>236565.46974317814</v>
      </c>
      <c r="G20" s="84">
        <f t="shared" si="1"/>
        <v>-4002.889325842727</v>
      </c>
      <c r="H20" s="78">
        <f t="shared" si="2"/>
        <v>2.15</v>
      </c>
      <c r="I20" s="59">
        <f>H20/H17</f>
        <v>0.1725521669341894</v>
      </c>
    </row>
    <row r="21" spans="1:9" s="59" customFormat="1" ht="15">
      <c r="A21" s="81" t="s">
        <v>22</v>
      </c>
      <c r="B21" s="34" t="s">
        <v>23</v>
      </c>
      <c r="C21" s="82">
        <v>3.04</v>
      </c>
      <c r="D21" s="83">
        <f>D17*I21</f>
        <v>334492.57117174956</v>
      </c>
      <c r="E21" s="83">
        <f>E17*I21</f>
        <v>340152.4704975923</v>
      </c>
      <c r="F21" s="83">
        <f t="shared" si="0"/>
        <v>334492.57117174956</v>
      </c>
      <c r="G21" s="84">
        <f t="shared" si="1"/>
        <v>-5659.899325842736</v>
      </c>
      <c r="H21" s="78">
        <f t="shared" si="2"/>
        <v>3.04</v>
      </c>
      <c r="I21" s="59">
        <f>H21/H17</f>
        <v>0.24398073836276082</v>
      </c>
    </row>
    <row r="22" spans="1:9" s="59" customFormat="1" ht="15">
      <c r="A22" s="81" t="s">
        <v>24</v>
      </c>
      <c r="B22" s="34" t="s">
        <v>180</v>
      </c>
      <c r="C22" s="85">
        <v>2.12</v>
      </c>
      <c r="D22" s="83">
        <f>D17*I22</f>
        <v>233264.55621187796</v>
      </c>
      <c r="E22" s="83">
        <f>E17*I22</f>
        <v>237211.59126805776</v>
      </c>
      <c r="F22" s="83">
        <f t="shared" si="0"/>
        <v>233264.55621187796</v>
      </c>
      <c r="G22" s="84">
        <f t="shared" si="1"/>
        <v>-3947.035056179797</v>
      </c>
      <c r="H22" s="78">
        <f t="shared" si="2"/>
        <v>2.12</v>
      </c>
      <c r="I22" s="59">
        <f>H22/H17</f>
        <v>0.17014446227929372</v>
      </c>
    </row>
    <row r="23" spans="1:11" s="89" customFormat="1" ht="14.25">
      <c r="A23" s="86" t="s">
        <v>25</v>
      </c>
      <c r="B23" s="86" t="s">
        <v>26</v>
      </c>
      <c r="C23" s="46">
        <v>3.86</v>
      </c>
      <c r="D23" s="87">
        <v>423986.01</v>
      </c>
      <c r="E23" s="87">
        <v>433268.64</v>
      </c>
      <c r="F23" s="87">
        <f t="shared" si="0"/>
        <v>423986.01</v>
      </c>
      <c r="G23" s="77">
        <f aca="true" t="shared" si="3" ref="G23:G34">D23-E23</f>
        <v>-9282.630000000005</v>
      </c>
      <c r="H23" s="88"/>
      <c r="I23" s="88"/>
      <c r="J23" s="88"/>
      <c r="K23" s="88"/>
    </row>
    <row r="24" spans="1:11" s="89" customFormat="1" ht="14.25">
      <c r="A24" s="86" t="s">
        <v>27</v>
      </c>
      <c r="B24" s="86" t="s">
        <v>92</v>
      </c>
      <c r="C24" s="46">
        <v>0</v>
      </c>
      <c r="D24" s="87">
        <v>0</v>
      </c>
      <c r="E24" s="87">
        <v>0</v>
      </c>
      <c r="F24" s="87">
        <f t="shared" si="0"/>
        <v>0</v>
      </c>
      <c r="G24" s="77">
        <f t="shared" si="3"/>
        <v>0</v>
      </c>
      <c r="H24" s="88"/>
      <c r="I24" s="88"/>
      <c r="J24" s="88"/>
      <c r="K24" s="88"/>
    </row>
    <row r="25" spans="1:21" s="89" customFormat="1" ht="28.5">
      <c r="A25" s="86" t="s">
        <v>29</v>
      </c>
      <c r="B25" s="86" t="s">
        <v>276</v>
      </c>
      <c r="C25" s="53">
        <v>7.12</v>
      </c>
      <c r="D25" s="90">
        <v>782801.4</v>
      </c>
      <c r="E25" s="90">
        <v>801786.33</v>
      </c>
      <c r="F25" s="90">
        <f>F56</f>
        <v>543570</v>
      </c>
      <c r="G25" s="90">
        <f t="shared" si="3"/>
        <v>-18984.929999999935</v>
      </c>
      <c r="H25" s="88"/>
      <c r="I25" s="57">
        <f>C25*9162*12</f>
        <v>782801.28</v>
      </c>
      <c r="J25" s="88"/>
      <c r="K25" s="91"/>
      <c r="L25" s="57"/>
      <c r="M25" s="92"/>
      <c r="N25" s="633"/>
      <c r="O25" s="633"/>
      <c r="P25" s="94"/>
      <c r="Q25" s="94"/>
      <c r="R25" s="636"/>
      <c r="S25" s="636"/>
      <c r="T25" s="92"/>
      <c r="U25" s="92"/>
    </row>
    <row r="26" spans="1:12" s="89" customFormat="1" ht="14.25">
      <c r="A26" s="86" t="s">
        <v>31</v>
      </c>
      <c r="B26" s="86" t="s">
        <v>116</v>
      </c>
      <c r="C26" s="95">
        <v>2.06</v>
      </c>
      <c r="D26" s="87">
        <v>226484.04</v>
      </c>
      <c r="E26" s="87">
        <v>232948.43</v>
      </c>
      <c r="F26" s="87">
        <f>F45</f>
        <v>122868.7243</v>
      </c>
      <c r="G26" s="77">
        <f t="shared" si="3"/>
        <v>-6464.389999999985</v>
      </c>
      <c r="H26" s="88"/>
      <c r="I26" s="96"/>
      <c r="J26" s="88"/>
      <c r="K26" s="96"/>
      <c r="L26" s="96"/>
    </row>
    <row r="27" spans="1:11" ht="14.25">
      <c r="A27" s="41" t="s">
        <v>33</v>
      </c>
      <c r="B27" s="41" t="s">
        <v>161</v>
      </c>
      <c r="C27" s="97" t="s">
        <v>313</v>
      </c>
      <c r="D27" s="77">
        <v>0</v>
      </c>
      <c r="E27" s="77">
        <v>0</v>
      </c>
      <c r="F27" s="87">
        <f>D27</f>
        <v>0</v>
      </c>
      <c r="G27" s="77">
        <f t="shared" si="3"/>
        <v>0</v>
      </c>
      <c r="H27" s="98"/>
      <c r="J27" s="98"/>
      <c r="K27" s="98"/>
    </row>
    <row r="28" spans="1:11" ht="14.25">
      <c r="A28" s="41" t="s">
        <v>35</v>
      </c>
      <c r="B28" s="41" t="s">
        <v>497</v>
      </c>
      <c r="C28" s="97">
        <v>0</v>
      </c>
      <c r="D28" s="77">
        <v>0</v>
      </c>
      <c r="E28" s="77">
        <v>0</v>
      </c>
      <c r="F28" s="76">
        <f>D28</f>
        <v>0</v>
      </c>
      <c r="G28" s="77">
        <f t="shared" si="3"/>
        <v>0</v>
      </c>
      <c r="H28" s="98"/>
      <c r="J28" s="98"/>
      <c r="K28" s="98"/>
    </row>
    <row r="29" spans="1:11" ht="14.25">
      <c r="A29" s="41" t="s">
        <v>192</v>
      </c>
      <c r="B29" s="41" t="s">
        <v>36</v>
      </c>
      <c r="C29" s="97">
        <v>0</v>
      </c>
      <c r="D29" s="77">
        <f>SUM(D30:D33)</f>
        <v>2975404.5999999996</v>
      </c>
      <c r="E29" s="77">
        <f>SUM(E30:E33)</f>
        <v>3070714.4800000004</v>
      </c>
      <c r="F29" s="77">
        <f>SUM(F30:F33)</f>
        <v>2975404.5999999996</v>
      </c>
      <c r="G29" s="77">
        <f t="shared" si="3"/>
        <v>-95309.88000000082</v>
      </c>
      <c r="H29" s="98"/>
      <c r="I29" s="98"/>
      <c r="J29" s="98"/>
      <c r="K29" s="98"/>
    </row>
    <row r="30" spans="1:7" ht="15">
      <c r="A30" s="34" t="s">
        <v>194</v>
      </c>
      <c r="B30" s="34" t="s">
        <v>237</v>
      </c>
      <c r="C30" s="293">
        <v>6</v>
      </c>
      <c r="D30" s="84">
        <v>232091.97</v>
      </c>
      <c r="E30" s="84">
        <v>238021.17</v>
      </c>
      <c r="F30" s="84">
        <f>D30</f>
        <v>232091.97</v>
      </c>
      <c r="G30" s="84">
        <f t="shared" si="3"/>
        <v>-5929.200000000012</v>
      </c>
    </row>
    <row r="31" spans="1:7" ht="15">
      <c r="A31" s="34" t="s">
        <v>195</v>
      </c>
      <c r="B31" s="34" t="s">
        <v>137</v>
      </c>
      <c r="C31" s="285">
        <v>57.08</v>
      </c>
      <c r="D31" s="84">
        <v>651918.36</v>
      </c>
      <c r="E31" s="84">
        <v>673082.21</v>
      </c>
      <c r="F31" s="84">
        <f>D31</f>
        <v>651918.36</v>
      </c>
      <c r="G31" s="84">
        <f t="shared" si="3"/>
        <v>-21163.849999999977</v>
      </c>
    </row>
    <row r="32" spans="1:7" ht="26.25">
      <c r="A32" s="34" t="s">
        <v>196</v>
      </c>
      <c r="B32" s="34" t="s">
        <v>340</v>
      </c>
      <c r="C32" s="49" t="s">
        <v>238</v>
      </c>
      <c r="D32" s="84">
        <v>765272.58</v>
      </c>
      <c r="E32" s="84">
        <v>798999.3</v>
      </c>
      <c r="F32" s="84">
        <f>D32</f>
        <v>765272.58</v>
      </c>
      <c r="G32" s="84">
        <f t="shared" si="3"/>
        <v>-33726.72000000009</v>
      </c>
    </row>
    <row r="33" spans="1:11" ht="26.25">
      <c r="A33" s="34" t="s">
        <v>197</v>
      </c>
      <c r="B33" s="34" t="s">
        <v>43</v>
      </c>
      <c r="C33" s="49" t="s">
        <v>238</v>
      </c>
      <c r="D33" s="84">
        <v>1326121.69</v>
      </c>
      <c r="E33" s="84">
        <v>1360611.8</v>
      </c>
      <c r="F33" s="84">
        <f>D33</f>
        <v>1326121.69</v>
      </c>
      <c r="G33" s="84">
        <f t="shared" si="3"/>
        <v>-34490.1100000001</v>
      </c>
      <c r="K33" s="96"/>
    </row>
    <row r="34" spans="1:9" s="102" customFormat="1" ht="33" customHeight="1">
      <c r="A34" s="52" t="s">
        <v>274</v>
      </c>
      <c r="B34" s="327" t="s">
        <v>323</v>
      </c>
      <c r="C34" s="332"/>
      <c r="D34" s="328">
        <f>(500*12)+(500*12)+(500*12)+(500*12)+5000</f>
        <v>29000</v>
      </c>
      <c r="E34" s="328">
        <v>20045</v>
      </c>
      <c r="F34" s="328">
        <f>57300+14300+709</f>
        <v>72309</v>
      </c>
      <c r="G34" s="287">
        <f t="shared" si="3"/>
        <v>8955</v>
      </c>
      <c r="H34" s="101"/>
      <c r="I34" s="101"/>
    </row>
    <row r="35" spans="1:9" s="102" customFormat="1" ht="33" customHeight="1">
      <c r="A35" s="429"/>
      <c r="B35" s="419"/>
      <c r="C35" s="487" t="s">
        <v>557</v>
      </c>
      <c r="D35" s="488"/>
      <c r="E35" s="488"/>
      <c r="F35" s="488"/>
      <c r="G35" s="424">
        <f>E34-(E34*15%)-F34</f>
        <v>-55270.75</v>
      </c>
      <c r="H35" s="101"/>
      <c r="I35" s="101"/>
    </row>
    <row r="36" spans="1:9" s="102" customFormat="1" ht="19.5" customHeight="1" thickBot="1">
      <c r="A36" s="446" t="s">
        <v>294</v>
      </c>
      <c r="B36" s="447"/>
      <c r="C36" s="447"/>
      <c r="D36" s="448"/>
      <c r="E36" s="448"/>
      <c r="F36" s="448"/>
      <c r="G36" s="170"/>
      <c r="H36" s="101"/>
      <c r="I36" s="101"/>
    </row>
    <row r="37" spans="1:9" s="67" customFormat="1" ht="15.75" thickBot="1">
      <c r="A37" s="455" t="s">
        <v>413</v>
      </c>
      <c r="B37" s="456"/>
      <c r="C37" s="456"/>
      <c r="D37" s="65">
        <v>957896.42</v>
      </c>
      <c r="E37" s="66"/>
      <c r="F37" s="66"/>
      <c r="G37" s="66"/>
      <c r="H37" s="62"/>
      <c r="I37" s="62"/>
    </row>
    <row r="38" spans="1:9" s="67" customFormat="1" ht="6" customHeight="1" thickBot="1">
      <c r="A38" s="68"/>
      <c r="B38" s="68"/>
      <c r="C38" s="68"/>
      <c r="D38" s="40"/>
      <c r="E38" s="66"/>
      <c r="F38" s="66"/>
      <c r="G38" s="66"/>
      <c r="H38" s="62"/>
      <c r="I38" s="62"/>
    </row>
    <row r="39" spans="1:11" s="67" customFormat="1" ht="15.75" thickBot="1">
      <c r="A39" s="63" t="s">
        <v>415</v>
      </c>
      <c r="B39" s="64"/>
      <c r="C39" s="64"/>
      <c r="D39" s="69"/>
      <c r="E39" s="70"/>
      <c r="F39" s="70"/>
      <c r="G39" s="71">
        <f>G13+E26-F26+E28-F28</f>
        <v>-418752.173609329</v>
      </c>
      <c r="H39" s="62"/>
      <c r="I39" s="62"/>
      <c r="K39" s="103"/>
    </row>
    <row r="40" spans="1:11" s="67" customFormat="1" ht="15.75" thickBot="1">
      <c r="A40" s="63" t="s">
        <v>476</v>
      </c>
      <c r="B40" s="64"/>
      <c r="C40" s="64"/>
      <c r="D40" s="69"/>
      <c r="E40" s="70"/>
      <c r="F40" s="70"/>
      <c r="G40" s="71">
        <f>G14+E25-F25</f>
        <v>631069.9199999999</v>
      </c>
      <c r="H40" s="62"/>
      <c r="I40" s="62"/>
      <c r="K40" s="103"/>
    </row>
    <row r="41" spans="1:11" s="102" customFormat="1" ht="13.5">
      <c r="A41" s="104"/>
      <c r="B41" s="104"/>
      <c r="C41" s="104"/>
      <c r="D41" s="104"/>
      <c r="E41" s="101"/>
      <c r="F41" s="101"/>
      <c r="G41" s="101"/>
      <c r="H41" s="101"/>
      <c r="I41" s="101"/>
      <c r="J41" s="101"/>
      <c r="K41" s="101"/>
    </row>
    <row r="42" spans="1:11" ht="31.5" customHeight="1">
      <c r="A42" s="444" t="s">
        <v>179</v>
      </c>
      <c r="B42" s="481"/>
      <c r="C42" s="481"/>
      <c r="D42" s="481"/>
      <c r="E42" s="481"/>
      <c r="F42" s="481"/>
      <c r="G42" s="481"/>
      <c r="H42" s="62"/>
      <c r="I42" s="62"/>
      <c r="J42" s="62"/>
      <c r="K42" s="62"/>
    </row>
    <row r="44" spans="1:12" s="74" customFormat="1" ht="37.5" customHeight="1">
      <c r="A44" s="105" t="s">
        <v>11</v>
      </c>
      <c r="B44" s="471" t="s">
        <v>45</v>
      </c>
      <c r="C44" s="484"/>
      <c r="D44" s="105" t="s">
        <v>163</v>
      </c>
      <c r="E44" s="105" t="s">
        <v>162</v>
      </c>
      <c r="F44" s="598" t="s">
        <v>46</v>
      </c>
      <c r="G44" s="598"/>
      <c r="H44" s="106"/>
      <c r="I44" s="107"/>
      <c r="L44" s="108"/>
    </row>
    <row r="45" spans="1:12" s="114" customFormat="1" ht="15" customHeight="1">
      <c r="A45" s="109" t="s">
        <v>47</v>
      </c>
      <c r="B45" s="473" t="s">
        <v>111</v>
      </c>
      <c r="C45" s="491"/>
      <c r="D45" s="110"/>
      <c r="E45" s="110"/>
      <c r="F45" s="611">
        <f>SUM(F46:G55)</f>
        <v>122868.7243</v>
      </c>
      <c r="G45" s="612"/>
      <c r="H45" s="112"/>
      <c r="I45" s="113"/>
      <c r="L45" s="115"/>
    </row>
    <row r="46" spans="1:12" ht="15">
      <c r="A46" s="34" t="s">
        <v>16</v>
      </c>
      <c r="B46" s="462" t="s">
        <v>632</v>
      </c>
      <c r="C46" s="489"/>
      <c r="D46" s="403" t="s">
        <v>164</v>
      </c>
      <c r="E46" s="405">
        <v>1</v>
      </c>
      <c r="F46" s="525">
        <v>7016.03</v>
      </c>
      <c r="G46" s="526"/>
      <c r="H46" s="40"/>
      <c r="I46" s="40"/>
      <c r="L46" s="119"/>
    </row>
    <row r="47" spans="1:12" ht="15" customHeight="1">
      <c r="A47" s="34" t="s">
        <v>18</v>
      </c>
      <c r="B47" s="462" t="s">
        <v>405</v>
      </c>
      <c r="C47" s="489"/>
      <c r="D47" s="403" t="s">
        <v>164</v>
      </c>
      <c r="E47" s="403">
        <v>2</v>
      </c>
      <c r="F47" s="497">
        <v>1400</v>
      </c>
      <c r="G47" s="497"/>
      <c r="H47" s="40"/>
      <c r="I47" s="40"/>
      <c r="L47" s="119"/>
    </row>
    <row r="48" spans="1:11" s="67" customFormat="1" ht="15">
      <c r="A48" s="34" t="s">
        <v>20</v>
      </c>
      <c r="B48" s="462" t="s">
        <v>722</v>
      </c>
      <c r="C48" s="489"/>
      <c r="D48" s="403" t="s">
        <v>164</v>
      </c>
      <c r="E48" s="403">
        <v>1</v>
      </c>
      <c r="F48" s="497">
        <v>23000</v>
      </c>
      <c r="G48" s="497"/>
      <c r="H48" s="59"/>
      <c r="I48" s="59"/>
      <c r="J48" s="59"/>
      <c r="K48" s="59"/>
    </row>
    <row r="49" spans="1:11" s="67" customFormat="1" ht="15">
      <c r="A49" s="34" t="s">
        <v>22</v>
      </c>
      <c r="B49" s="462" t="s">
        <v>723</v>
      </c>
      <c r="C49" s="489"/>
      <c r="D49" s="403" t="s">
        <v>164</v>
      </c>
      <c r="E49" s="403">
        <v>1</v>
      </c>
      <c r="F49" s="497">
        <v>45410</v>
      </c>
      <c r="G49" s="497"/>
      <c r="H49" s="59"/>
      <c r="I49" s="59"/>
      <c r="J49" s="59"/>
      <c r="K49" s="59"/>
    </row>
    <row r="50" spans="1:7" s="59" customFormat="1" ht="15">
      <c r="A50" s="34" t="s">
        <v>24</v>
      </c>
      <c r="B50" s="462" t="s">
        <v>724</v>
      </c>
      <c r="C50" s="489"/>
      <c r="D50" s="403" t="s">
        <v>164</v>
      </c>
      <c r="E50" s="403">
        <v>1</v>
      </c>
      <c r="F50" s="497">
        <v>21000</v>
      </c>
      <c r="G50" s="497"/>
    </row>
    <row r="51" spans="1:7" s="59" customFormat="1" ht="15">
      <c r="A51" s="252" t="s">
        <v>103</v>
      </c>
      <c r="B51" s="462" t="s">
        <v>725</v>
      </c>
      <c r="C51" s="489"/>
      <c r="D51" s="403"/>
      <c r="E51" s="403"/>
      <c r="F51" s="497">
        <v>6790</v>
      </c>
      <c r="G51" s="497"/>
    </row>
    <row r="52" spans="1:7" s="59" customFormat="1" ht="15">
      <c r="A52" s="34" t="s">
        <v>104</v>
      </c>
      <c r="B52" s="462" t="s">
        <v>726</v>
      </c>
      <c r="C52" s="489"/>
      <c r="D52" s="403" t="s">
        <v>167</v>
      </c>
      <c r="E52" s="405">
        <v>4.59</v>
      </c>
      <c r="F52" s="497">
        <v>1923.21</v>
      </c>
      <c r="G52" s="497"/>
    </row>
    <row r="53" spans="1:7" s="59" customFormat="1" ht="15">
      <c r="A53" s="34" t="s">
        <v>117</v>
      </c>
      <c r="B53" s="449" t="s">
        <v>814</v>
      </c>
      <c r="C53" s="451"/>
      <c r="D53" s="118" t="s">
        <v>391</v>
      </c>
      <c r="E53" s="121">
        <v>5</v>
      </c>
      <c r="F53" s="495">
        <v>14000</v>
      </c>
      <c r="G53" s="495"/>
    </row>
    <row r="54" spans="1:7" s="59" customFormat="1" ht="15">
      <c r="A54" s="34" t="s">
        <v>118</v>
      </c>
      <c r="B54" s="462"/>
      <c r="C54" s="489"/>
      <c r="D54" s="403"/>
      <c r="E54" s="403"/>
      <c r="F54" s="497"/>
      <c r="G54" s="497"/>
    </row>
    <row r="55" spans="1:7" ht="15">
      <c r="A55" s="34" t="s">
        <v>119</v>
      </c>
      <c r="B55" s="511" t="s">
        <v>188</v>
      </c>
      <c r="C55" s="512"/>
      <c r="D55" s="123"/>
      <c r="E55" s="123"/>
      <c r="F55" s="495">
        <f>E26*1%</f>
        <v>2329.4843</v>
      </c>
      <c r="G55" s="495"/>
    </row>
    <row r="56" spans="1:7" ht="15">
      <c r="A56" s="109" t="s">
        <v>290</v>
      </c>
      <c r="B56" s="473" t="s">
        <v>276</v>
      </c>
      <c r="C56" s="491"/>
      <c r="D56" s="110"/>
      <c r="E56" s="110"/>
      <c r="F56" s="611">
        <f>SUM(F57:G58)</f>
        <v>543570</v>
      </c>
      <c r="G56" s="612"/>
    </row>
    <row r="57" spans="1:7" ht="15">
      <c r="A57" s="34" t="s">
        <v>279</v>
      </c>
      <c r="B57" s="462" t="s">
        <v>239</v>
      </c>
      <c r="C57" s="489"/>
      <c r="D57" s="403"/>
      <c r="E57" s="403"/>
      <c r="F57" s="497">
        <f>(40000*12)</f>
        <v>480000</v>
      </c>
      <c r="G57" s="497"/>
    </row>
    <row r="58" spans="1:7" ht="15" customHeight="1">
      <c r="A58" s="34" t="s">
        <v>279</v>
      </c>
      <c r="B58" s="462" t="s">
        <v>654</v>
      </c>
      <c r="C58" s="489"/>
      <c r="D58" s="403"/>
      <c r="E58" s="403"/>
      <c r="F58" s="497">
        <v>63570</v>
      </c>
      <c r="G58" s="497"/>
    </row>
    <row r="59" spans="1:7" ht="12.75">
      <c r="A59" s="59"/>
      <c r="B59" s="59"/>
      <c r="C59" s="59"/>
      <c r="D59" s="59"/>
      <c r="E59" s="59"/>
      <c r="F59" s="59"/>
      <c r="G59" s="59"/>
    </row>
    <row r="60" spans="1:7" ht="15">
      <c r="A60" s="67" t="s">
        <v>55</v>
      </c>
      <c r="B60" s="67"/>
      <c r="C60" s="125" t="s">
        <v>49</v>
      </c>
      <c r="D60" s="67"/>
      <c r="E60" s="67"/>
      <c r="F60" s="67" t="s">
        <v>90</v>
      </c>
      <c r="G60" s="67"/>
    </row>
    <row r="61" spans="1:7" ht="15">
      <c r="A61" s="67"/>
      <c r="B61" s="67"/>
      <c r="C61" s="125"/>
      <c r="D61" s="67"/>
      <c r="E61" s="67"/>
      <c r="F61" s="126" t="s">
        <v>545</v>
      </c>
      <c r="G61" s="67"/>
    </row>
    <row r="62" spans="1:7" ht="15">
      <c r="A62" s="67" t="s">
        <v>50</v>
      </c>
      <c r="B62" s="67"/>
      <c r="C62" s="125"/>
      <c r="D62" s="67"/>
      <c r="E62" s="67"/>
      <c r="F62" s="67"/>
      <c r="G62" s="67"/>
    </row>
    <row r="63" spans="1:7" ht="15">
      <c r="A63" s="67"/>
      <c r="B63" s="67"/>
      <c r="C63" s="127" t="s">
        <v>51</v>
      </c>
      <c r="D63" s="67"/>
      <c r="E63" s="128"/>
      <c r="F63" s="128"/>
      <c r="G63" s="128"/>
    </row>
  </sheetData>
  <sheetProtection/>
  <mergeCells count="43">
    <mergeCell ref="F57:G57"/>
    <mergeCell ref="N25:O25"/>
    <mergeCell ref="B48:C48"/>
    <mergeCell ref="F48:G48"/>
    <mergeCell ref="B45:C45"/>
    <mergeCell ref="F45:G45"/>
    <mergeCell ref="A42:G42"/>
    <mergeCell ref="C35:F35"/>
    <mergeCell ref="F51:G51"/>
    <mergeCell ref="R25:S25"/>
    <mergeCell ref="B47:C47"/>
    <mergeCell ref="F47:G47"/>
    <mergeCell ref="B46:C46"/>
    <mergeCell ref="F46:G46"/>
    <mergeCell ref="A10:K10"/>
    <mergeCell ref="A37:C37"/>
    <mergeCell ref="B44:C44"/>
    <mergeCell ref="F44:G44"/>
    <mergeCell ref="A36:F36"/>
    <mergeCell ref="A1:K1"/>
    <mergeCell ref="A2:K2"/>
    <mergeCell ref="A3:K3"/>
    <mergeCell ref="A5:K5"/>
    <mergeCell ref="A9:K9"/>
    <mergeCell ref="A11:K11"/>
    <mergeCell ref="F49:G49"/>
    <mergeCell ref="B58:C58"/>
    <mergeCell ref="F58:G58"/>
    <mergeCell ref="F52:G52"/>
    <mergeCell ref="F53:G53"/>
    <mergeCell ref="F54:G54"/>
    <mergeCell ref="B53:C53"/>
    <mergeCell ref="F56:G56"/>
    <mergeCell ref="B57:C57"/>
    <mergeCell ref="B49:C49"/>
    <mergeCell ref="B56:C56"/>
    <mergeCell ref="F50:G50"/>
    <mergeCell ref="B50:C50"/>
    <mergeCell ref="B52:C52"/>
    <mergeCell ref="B55:C55"/>
    <mergeCell ref="F55:G55"/>
    <mergeCell ref="B51:C51"/>
    <mergeCell ref="B54:C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M53"/>
  <sheetViews>
    <sheetView zoomScalePageLayoutView="0" workbookViewId="0" topLeftCell="A43">
      <selection activeCell="G40" sqref="G40"/>
    </sheetView>
  </sheetViews>
  <sheetFormatPr defaultColWidth="9.140625" defaultRowHeight="15" outlineLevelCol="1"/>
  <cols>
    <col min="1" max="1" width="4.7109375" style="35" customWidth="1"/>
    <col min="2" max="2" width="48.28125" style="35" customWidth="1"/>
    <col min="3" max="3" width="12.7109375" style="35" customWidth="1"/>
    <col min="4" max="4" width="13.57421875" style="35" customWidth="1"/>
    <col min="5" max="5" width="15.57421875" style="35" customWidth="1"/>
    <col min="6" max="6" width="12.1406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7109375" style="35" bestFit="1" customWidth="1" collapsed="1"/>
    <col min="14" max="16384" width="9.140625" style="35" customWidth="1"/>
  </cols>
  <sheetData>
    <row r="1" spans="1:9" ht="15">
      <c r="A1" s="475" t="s">
        <v>0</v>
      </c>
      <c r="B1" s="475"/>
      <c r="C1" s="475"/>
      <c r="D1" s="475"/>
      <c r="E1" s="475"/>
      <c r="F1" s="475"/>
      <c r="G1" s="475"/>
      <c r="H1" s="475"/>
      <c r="I1" s="475"/>
    </row>
    <row r="2" spans="1:9" ht="15">
      <c r="A2" s="475" t="s">
        <v>52</v>
      </c>
      <c r="B2" s="475"/>
      <c r="C2" s="475"/>
      <c r="D2" s="475"/>
      <c r="E2" s="475"/>
      <c r="F2" s="475"/>
      <c r="G2" s="475"/>
      <c r="H2" s="475"/>
      <c r="I2" s="475"/>
    </row>
    <row r="3" spans="1:11" ht="1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9" ht="12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2" customHeight="1">
      <c r="A5" s="476" t="s">
        <v>1</v>
      </c>
      <c r="B5" s="475"/>
      <c r="C5" s="475"/>
      <c r="D5" s="475"/>
      <c r="E5" s="475"/>
      <c r="F5" s="475"/>
      <c r="G5" s="475"/>
      <c r="H5" s="475"/>
      <c r="I5" s="475"/>
    </row>
    <row r="7" spans="1:9" s="67" customFormat="1" ht="16.5" customHeight="1">
      <c r="A7" s="67" t="s">
        <v>2</v>
      </c>
      <c r="E7" s="126" t="s">
        <v>61</v>
      </c>
      <c r="I7" s="67" t="s">
        <v>500</v>
      </c>
    </row>
    <row r="8" spans="1:10" s="67" customFormat="1" ht="15">
      <c r="A8" s="67" t="s">
        <v>3</v>
      </c>
      <c r="E8" s="291" t="s">
        <v>62</v>
      </c>
      <c r="I8" s="199">
        <v>273.5</v>
      </c>
      <c r="J8" s="125">
        <v>1005.3</v>
      </c>
    </row>
    <row r="9" s="67" customFormat="1" ht="15"/>
    <row r="10" spans="1:9" s="67" customFormat="1" ht="1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</row>
    <row r="11" spans="1:9" s="67" customFormat="1" ht="1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</row>
    <row r="12" spans="1:9" s="67" customFormat="1" ht="1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422</v>
      </c>
      <c r="B14" s="64"/>
      <c r="C14" s="64"/>
      <c r="D14" s="69"/>
      <c r="E14" s="70"/>
      <c r="F14" s="70"/>
      <c r="G14" s="144">
        <f>'[2]Социалистическая 6 к.1'!$G$37</f>
        <v>23604.83</v>
      </c>
      <c r="H14" s="62"/>
      <c r="I14" s="62"/>
    </row>
    <row r="15" spans="1:9" s="67" customFormat="1" ht="15.75" thickBot="1">
      <c r="A15" s="63" t="s">
        <v>372</v>
      </c>
      <c r="B15" s="64"/>
      <c r="C15" s="64"/>
      <c r="D15" s="69"/>
      <c r="E15" s="70"/>
      <c r="F15" s="70"/>
      <c r="G15" s="144">
        <f>'[2]Социалистическая 6 к.1'!$G$38</f>
        <v>-109014.43519999998</v>
      </c>
      <c r="H15" s="62"/>
      <c r="I15" s="62"/>
    </row>
    <row r="16" s="67" customFormat="1" ht="9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8" s="167" customFormat="1" ht="14.25">
      <c r="A18" s="75" t="s">
        <v>14</v>
      </c>
      <c r="B18" s="41" t="s">
        <v>15</v>
      </c>
      <c r="C18" s="135">
        <f>C19+C20+C21+C22</f>
        <v>10.34</v>
      </c>
      <c r="D18" s="76">
        <v>144564.73</v>
      </c>
      <c r="E18" s="76">
        <v>144926.72</v>
      </c>
      <c r="F18" s="76">
        <f>D18</f>
        <v>144564.73</v>
      </c>
      <c r="G18" s="77">
        <f>D18-E18</f>
        <v>-361.9899999999907</v>
      </c>
      <c r="H18" s="136">
        <f>C18</f>
        <v>10.34</v>
      </c>
    </row>
    <row r="19" spans="1:9" s="67" customFormat="1" ht="14.25" customHeight="1">
      <c r="A19" s="81" t="s">
        <v>16</v>
      </c>
      <c r="B19" s="34" t="s">
        <v>17</v>
      </c>
      <c r="C19" s="99">
        <v>3.46</v>
      </c>
      <c r="D19" s="83">
        <f>D18*I19</f>
        <v>48374.65820116055</v>
      </c>
      <c r="E19" s="83">
        <f>E18*I19</f>
        <v>48495.788317214705</v>
      </c>
      <c r="F19" s="83">
        <f>D19</f>
        <v>48374.65820116055</v>
      </c>
      <c r="G19" s="84">
        <f>D19-E19</f>
        <v>-121.13011605415522</v>
      </c>
      <c r="H19" s="78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23628.084497098644</v>
      </c>
      <c r="E20" s="83">
        <f>E18*I20</f>
        <v>23687.249206963246</v>
      </c>
      <c r="F20" s="83">
        <f>D20</f>
        <v>23628.084497098644</v>
      </c>
      <c r="G20" s="84">
        <f>D20-E20</f>
        <v>-59.16470986460263</v>
      </c>
      <c r="H20" s="78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30059.397437137333</v>
      </c>
      <c r="E21" s="83">
        <f>E18*I21</f>
        <v>30134.666150870406</v>
      </c>
      <c r="F21" s="83">
        <f>D21</f>
        <v>30059.397437137333</v>
      </c>
      <c r="G21" s="84">
        <f>D21-E21</f>
        <v>-75.26871373307222</v>
      </c>
      <c r="H21" s="78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42502.589864603484</v>
      </c>
      <c r="E22" s="83">
        <f>E18*I22</f>
        <v>42609.01632495165</v>
      </c>
      <c r="F22" s="83">
        <f>D22</f>
        <v>42502.589864603484</v>
      </c>
      <c r="G22" s="84">
        <f>D22-E22</f>
        <v>-106.42646034816426</v>
      </c>
      <c r="H22" s="78">
        <f>C22</f>
        <v>3.04</v>
      </c>
      <c r="I22" s="67">
        <f>H22/H18</f>
        <v>0.2940038684719536</v>
      </c>
    </row>
    <row r="23" spans="1:9" s="39" customFormat="1" ht="15">
      <c r="A23" s="81" t="s">
        <v>25</v>
      </c>
      <c r="B23" s="86" t="s">
        <v>462</v>
      </c>
      <c r="C23" s="141">
        <v>130</v>
      </c>
      <c r="D23" s="77">
        <v>21060</v>
      </c>
      <c r="E23" s="77">
        <v>20909.05</v>
      </c>
      <c r="F23" s="76">
        <f aca="true" t="shared" si="0" ref="F23:F32">D23</f>
        <v>21060</v>
      </c>
      <c r="G23" s="77">
        <f aca="true" t="shared" si="1" ref="G23:G32">D23-E23</f>
        <v>150.95000000000073</v>
      </c>
      <c r="H23" s="39">
        <f>18*130</f>
        <v>2340</v>
      </c>
      <c r="I23" s="39">
        <f>D23/H23</f>
        <v>9</v>
      </c>
    </row>
    <row r="24" spans="1:7" s="39" customFormat="1" ht="14.25">
      <c r="A24" s="41" t="s">
        <v>27</v>
      </c>
      <c r="B24" s="140" t="s">
        <v>28</v>
      </c>
      <c r="C24" s="141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s="39" customFormat="1" ht="14.25">
      <c r="A25" s="41" t="s">
        <v>29</v>
      </c>
      <c r="B25" s="140" t="s">
        <v>161</v>
      </c>
      <c r="C25" s="141" t="s">
        <v>296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13" s="39" customFormat="1" ht="14.25">
      <c r="A26" s="41" t="s">
        <v>31</v>
      </c>
      <c r="B26" s="140" t="s">
        <v>116</v>
      </c>
      <c r="C26" s="141">
        <v>2.06</v>
      </c>
      <c r="D26" s="77">
        <v>24851.28</v>
      </c>
      <c r="E26" s="77">
        <v>24912.13</v>
      </c>
      <c r="F26" s="76">
        <f>F44</f>
        <v>-1461.1786999999993</v>
      </c>
      <c r="G26" s="77">
        <f t="shared" si="1"/>
        <v>-60.85000000000218</v>
      </c>
      <c r="M26" s="181"/>
    </row>
    <row r="27" spans="1:7" s="39" customFormat="1" ht="14.25">
      <c r="A27" s="41" t="s">
        <v>33</v>
      </c>
      <c r="B27" s="134" t="s">
        <v>34</v>
      </c>
      <c r="C27" s="135">
        <v>0</v>
      </c>
      <c r="D27" s="77">
        <v>0</v>
      </c>
      <c r="E27" s="77">
        <v>0</v>
      </c>
      <c r="F27" s="76">
        <f>D27</f>
        <v>0</v>
      </c>
      <c r="G27" s="77">
        <f t="shared" si="1"/>
        <v>0</v>
      </c>
    </row>
    <row r="28" spans="1:7" s="39" customFormat="1" ht="14.25">
      <c r="A28" s="41" t="s">
        <v>35</v>
      </c>
      <c r="B28" s="134" t="s">
        <v>36</v>
      </c>
      <c r="C28" s="135"/>
      <c r="D28" s="77">
        <f>SUM(D29:D32)</f>
        <v>552175.95</v>
      </c>
      <c r="E28" s="77">
        <f>SUM(E29:E32)</f>
        <v>553342.18</v>
      </c>
      <c r="F28" s="76">
        <f t="shared" si="0"/>
        <v>552175.95</v>
      </c>
      <c r="G28" s="77">
        <f t="shared" si="1"/>
        <v>-1166.2300000000978</v>
      </c>
    </row>
    <row r="29" spans="1:7" ht="15">
      <c r="A29" s="34" t="s">
        <v>37</v>
      </c>
      <c r="B29" s="34" t="s">
        <v>165</v>
      </c>
      <c r="C29" s="285">
        <v>6</v>
      </c>
      <c r="D29" s="84">
        <v>3149.52</v>
      </c>
      <c r="E29" s="84">
        <v>3142.63</v>
      </c>
      <c r="F29" s="83">
        <f>D29</f>
        <v>3149.52</v>
      </c>
      <c r="G29" s="84">
        <f t="shared" si="1"/>
        <v>6.889999999999873</v>
      </c>
    </row>
    <row r="30" spans="1:7" ht="15">
      <c r="A30" s="34" t="s">
        <v>39</v>
      </c>
      <c r="B30" s="34" t="s">
        <v>137</v>
      </c>
      <c r="C30" s="285">
        <v>57.08</v>
      </c>
      <c r="D30" s="84">
        <v>92260</v>
      </c>
      <c r="E30" s="84">
        <v>92638.75</v>
      </c>
      <c r="F30" s="83">
        <f t="shared" si="0"/>
        <v>92260</v>
      </c>
      <c r="G30" s="84">
        <f t="shared" si="1"/>
        <v>-378.75</v>
      </c>
    </row>
    <row r="31" spans="1:7" ht="15">
      <c r="A31" s="34" t="s">
        <v>42</v>
      </c>
      <c r="B31" s="139" t="s">
        <v>340</v>
      </c>
      <c r="C31" s="286">
        <v>211.65</v>
      </c>
      <c r="D31" s="84">
        <v>153436.4</v>
      </c>
      <c r="E31" s="84">
        <v>153110.15</v>
      </c>
      <c r="F31" s="83">
        <f t="shared" si="0"/>
        <v>153436.4</v>
      </c>
      <c r="G31" s="84">
        <f t="shared" si="1"/>
        <v>326.25</v>
      </c>
    </row>
    <row r="32" spans="1:7" ht="15">
      <c r="A32" s="34" t="s">
        <v>41</v>
      </c>
      <c r="B32" s="34" t="s">
        <v>43</v>
      </c>
      <c r="C32" s="285">
        <v>2638.8</v>
      </c>
      <c r="D32" s="84">
        <v>303330.03</v>
      </c>
      <c r="E32" s="84">
        <v>304450.65</v>
      </c>
      <c r="F32" s="83">
        <f t="shared" si="0"/>
        <v>303330.03</v>
      </c>
      <c r="G32" s="84">
        <f t="shared" si="1"/>
        <v>-1120.6199999999953</v>
      </c>
    </row>
    <row r="33" spans="1:7" ht="15">
      <c r="A33" s="292" t="s">
        <v>271</v>
      </c>
      <c r="B33" s="327" t="s">
        <v>272</v>
      </c>
      <c r="C33" s="285"/>
      <c r="D33" s="287">
        <f>(500*12)+(500*12)+(500*12)</f>
        <v>18000</v>
      </c>
      <c r="E33" s="287">
        <v>9303</v>
      </c>
      <c r="F33" s="315">
        <v>35770</v>
      </c>
      <c r="G33" s="287">
        <f>E33-D33</f>
        <v>-8697</v>
      </c>
    </row>
    <row r="34" spans="1:7" ht="15">
      <c r="A34" s="191"/>
      <c r="B34" s="397"/>
      <c r="C34" s="487" t="s">
        <v>557</v>
      </c>
      <c r="D34" s="488"/>
      <c r="E34" s="488"/>
      <c r="F34" s="488"/>
      <c r="G34" s="424">
        <f>E33-(E33*15%)-F33</f>
        <v>-27862.45</v>
      </c>
    </row>
    <row r="35" spans="1:10" s="102" customFormat="1" ht="23.25" customHeight="1" thickBot="1">
      <c r="A35" s="446" t="s">
        <v>294</v>
      </c>
      <c r="B35" s="447"/>
      <c r="C35" s="447"/>
      <c r="D35" s="448"/>
      <c r="E35" s="448"/>
      <c r="F35" s="448"/>
      <c r="G35" s="101"/>
      <c r="H35" s="101"/>
      <c r="I35" s="101"/>
      <c r="J35" s="101"/>
    </row>
    <row r="36" spans="1:9" s="67" customFormat="1" ht="15.75" thickBot="1">
      <c r="A36" s="455" t="s">
        <v>413</v>
      </c>
      <c r="B36" s="456"/>
      <c r="C36" s="456"/>
      <c r="D36" s="65">
        <v>112199.03</v>
      </c>
      <c r="E36" s="66"/>
      <c r="F36" s="66"/>
      <c r="G36" s="66"/>
      <c r="H36" s="62"/>
      <c r="I36" s="62"/>
    </row>
    <row r="37" spans="1:9" s="67" customFormat="1" ht="6" customHeight="1" thickBot="1">
      <c r="A37" s="68"/>
      <c r="B37" s="68"/>
      <c r="C37" s="68"/>
      <c r="D37" s="40"/>
      <c r="E37" s="66"/>
      <c r="F37" s="66"/>
      <c r="G37" s="66"/>
      <c r="H37" s="62"/>
      <c r="I37" s="62"/>
    </row>
    <row r="38" spans="1:9" s="67" customFormat="1" ht="15.75" thickBot="1">
      <c r="A38" s="63" t="s">
        <v>414</v>
      </c>
      <c r="B38" s="64"/>
      <c r="C38" s="64"/>
      <c r="D38" s="69"/>
      <c r="E38" s="70"/>
      <c r="F38" s="70"/>
      <c r="G38" s="144">
        <f>G14+E27-F27</f>
        <v>23604.83</v>
      </c>
      <c r="H38" s="62"/>
      <c r="I38" s="62"/>
    </row>
    <row r="39" spans="1:9" s="67" customFormat="1" ht="15.75" thickBot="1">
      <c r="A39" s="63" t="s">
        <v>415</v>
      </c>
      <c r="B39" s="64"/>
      <c r="C39" s="64"/>
      <c r="D39" s="69"/>
      <c r="E39" s="70"/>
      <c r="F39" s="70"/>
      <c r="G39" s="144">
        <f>G15+E26-F26</f>
        <v>-82641.12649999997</v>
      </c>
      <c r="H39" s="62"/>
      <c r="I39" s="62"/>
    </row>
    <row r="40" spans="2:5" ht="7.5" customHeight="1">
      <c r="B40" s="154"/>
      <c r="C40" s="154"/>
      <c r="D40" s="154"/>
      <c r="E40" s="154"/>
    </row>
    <row r="41" spans="1:9" ht="24" customHeight="1">
      <c r="A41" s="444" t="s">
        <v>44</v>
      </c>
      <c r="B41" s="444"/>
      <c r="C41" s="444"/>
      <c r="D41" s="444"/>
      <c r="E41" s="444"/>
      <c r="F41" s="444"/>
      <c r="G41" s="444"/>
      <c r="H41" s="444"/>
      <c r="I41" s="444"/>
    </row>
    <row r="43" spans="1:7" s="171" customFormat="1" ht="28.5" customHeight="1">
      <c r="A43" s="105" t="s">
        <v>11</v>
      </c>
      <c r="B43" s="471" t="s">
        <v>45</v>
      </c>
      <c r="C43" s="484"/>
      <c r="D43" s="105" t="s">
        <v>163</v>
      </c>
      <c r="E43" s="105" t="s">
        <v>162</v>
      </c>
      <c r="F43" s="471" t="s">
        <v>46</v>
      </c>
      <c r="G43" s="483"/>
    </row>
    <row r="44" spans="1:7" s="114" customFormat="1" ht="13.5" customHeight="1">
      <c r="A44" s="109" t="s">
        <v>47</v>
      </c>
      <c r="B44" s="473" t="s">
        <v>111</v>
      </c>
      <c r="C44" s="491"/>
      <c r="D44" s="172"/>
      <c r="E44" s="172"/>
      <c r="F44" s="496">
        <f>SUM(F45:G48)</f>
        <v>-1461.1786999999993</v>
      </c>
      <c r="G44" s="483"/>
    </row>
    <row r="45" spans="1:7" ht="13.5" customHeight="1">
      <c r="A45" s="34" t="s">
        <v>16</v>
      </c>
      <c r="B45" s="462" t="s">
        <v>556</v>
      </c>
      <c r="C45" s="498"/>
      <c r="D45" s="344" t="s">
        <v>216</v>
      </c>
      <c r="E45" s="342">
        <v>0.18</v>
      </c>
      <c r="F45" s="482">
        <v>25659.7</v>
      </c>
      <c r="G45" s="482"/>
    </row>
    <row r="46" spans="1:7" ht="27" customHeight="1">
      <c r="A46" s="34" t="s">
        <v>18</v>
      </c>
      <c r="B46" s="462" t="s">
        <v>424</v>
      </c>
      <c r="C46" s="498"/>
      <c r="D46" s="344" t="s">
        <v>164</v>
      </c>
      <c r="E46" s="342">
        <v>1</v>
      </c>
      <c r="F46" s="482">
        <v>-35770</v>
      </c>
      <c r="G46" s="482"/>
    </row>
    <row r="47" spans="1:7" ht="27" customHeight="1">
      <c r="A47" s="34" t="s">
        <v>20</v>
      </c>
      <c r="B47" s="449" t="s">
        <v>814</v>
      </c>
      <c r="C47" s="641"/>
      <c r="D47" s="151" t="s">
        <v>391</v>
      </c>
      <c r="E47" s="152">
        <v>3</v>
      </c>
      <c r="F47" s="490">
        <v>8400</v>
      </c>
      <c r="G47" s="490"/>
    </row>
    <row r="48" spans="1:7" ht="13.5" customHeight="1">
      <c r="A48" s="34" t="s">
        <v>20</v>
      </c>
      <c r="B48" s="511" t="s">
        <v>188</v>
      </c>
      <c r="C48" s="512"/>
      <c r="D48" s="190"/>
      <c r="E48" s="190"/>
      <c r="F48" s="495">
        <f>E26*1%</f>
        <v>249.12130000000002</v>
      </c>
      <c r="G48" s="495"/>
    </row>
    <row r="49" s="67" customFormat="1" ht="15"/>
    <row r="50" spans="1:6" s="67" customFormat="1" ht="15">
      <c r="A50" s="67" t="s">
        <v>55</v>
      </c>
      <c r="C50" s="67" t="s">
        <v>49</v>
      </c>
      <c r="F50" s="67" t="s">
        <v>90</v>
      </c>
    </row>
    <row r="51" s="67" customFormat="1" ht="13.5" customHeight="1">
      <c r="F51" s="126" t="s">
        <v>545</v>
      </c>
    </row>
    <row r="52" s="67" customFormat="1" ht="15">
      <c r="A52" s="67" t="s">
        <v>50</v>
      </c>
    </row>
    <row r="53" spans="3:7" s="67" customFormat="1" ht="15">
      <c r="C53" s="128" t="s">
        <v>51</v>
      </c>
      <c r="E53" s="128"/>
      <c r="F53" s="128"/>
      <c r="G53" s="128"/>
    </row>
    <row r="54" s="67" customFormat="1" ht="15"/>
  </sheetData>
  <sheetProtection/>
  <mergeCells count="23">
    <mergeCell ref="A1:I1"/>
    <mergeCell ref="A2:I2"/>
    <mergeCell ref="A5:I5"/>
    <mergeCell ref="A10:I10"/>
    <mergeCell ref="A3:K3"/>
    <mergeCell ref="A12:I12"/>
    <mergeCell ref="A35:F35"/>
    <mergeCell ref="F46:G46"/>
    <mergeCell ref="B46:C46"/>
    <mergeCell ref="A36:C36"/>
    <mergeCell ref="F44:G44"/>
    <mergeCell ref="A11:I11"/>
    <mergeCell ref="B45:C45"/>
    <mergeCell ref="C34:F34"/>
    <mergeCell ref="F45:G45"/>
    <mergeCell ref="A41:I41"/>
    <mergeCell ref="F48:G48"/>
    <mergeCell ref="F43:G43"/>
    <mergeCell ref="B43:C43"/>
    <mergeCell ref="B44:C44"/>
    <mergeCell ref="B48:C48"/>
    <mergeCell ref="F47:G47"/>
    <mergeCell ref="B47:C47"/>
  </mergeCells>
  <printOptions/>
  <pageMargins left="0" right="0" top="0" bottom="0" header="0.31496062992125984" footer="0.31496062992125984"/>
  <pageSetup horizontalDpi="600" verticalDpi="600" orientation="portrait" paperSize="9" scale="95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7030A0"/>
  </sheetPr>
  <dimension ref="A1:N52"/>
  <sheetViews>
    <sheetView zoomScalePageLayoutView="0" workbookViewId="0" topLeftCell="B36">
      <selection activeCell="A38" sqref="A38:K38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8" s="59" customFormat="1" ht="16.5" customHeight="1">
      <c r="A7" s="59" t="s">
        <v>2</v>
      </c>
      <c r="F7" s="60" t="s">
        <v>206</v>
      </c>
      <c r="H7" s="60"/>
    </row>
    <row r="8" spans="1:10" s="59" customFormat="1" ht="12.75">
      <c r="A8" s="59" t="s">
        <v>3</v>
      </c>
      <c r="F8" s="301" t="s">
        <v>378</v>
      </c>
      <c r="H8" s="60"/>
      <c r="I8" s="61">
        <v>150.2</v>
      </c>
      <c r="J8" s="59">
        <f>1589.5+150.2</f>
        <v>1739.7</v>
      </c>
    </row>
    <row r="9" spans="2:9" s="59" customFormat="1" ht="12.75">
      <c r="B9" s="59" t="s">
        <v>507</v>
      </c>
      <c r="F9" s="301" t="s">
        <v>727</v>
      </c>
      <c r="H9" s="60"/>
      <c r="I9" s="251"/>
    </row>
    <row r="10" spans="1:11" s="59" customFormat="1" ht="12.7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11" s="59" customFormat="1" ht="13.5" thickBot="1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</row>
    <row r="13" spans="1:9" s="67" customFormat="1" ht="16.5" customHeight="1" thickBot="1">
      <c r="A13" s="455"/>
      <c r="B13" s="456"/>
      <c r="C13" s="456"/>
      <c r="D13" s="50"/>
      <c r="E13" s="66"/>
      <c r="F13" s="66"/>
      <c r="G13" s="66"/>
      <c r="H13" s="62"/>
      <c r="I13" s="62"/>
    </row>
    <row r="14" spans="1:9" s="67" customFormat="1" ht="6" customHeight="1" thickBot="1">
      <c r="A14" s="68"/>
      <c r="B14" s="68"/>
      <c r="C14" s="68"/>
      <c r="D14" s="40"/>
      <c r="E14" s="66"/>
      <c r="F14" s="66"/>
      <c r="G14" s="66"/>
      <c r="H14" s="62"/>
      <c r="I14" s="62"/>
    </row>
    <row r="15" spans="1:9" s="67" customFormat="1" ht="15.75" thickBot="1">
      <c r="A15" s="63" t="s">
        <v>431</v>
      </c>
      <c r="B15" s="64"/>
      <c r="C15" s="64"/>
      <c r="D15" s="69"/>
      <c r="E15" s="70"/>
      <c r="F15" s="70"/>
      <c r="G15" s="65">
        <f>'[2]Гагарина 9'!$G$35</f>
        <v>67666.51790000002</v>
      </c>
      <c r="H15" s="62"/>
      <c r="I15" s="62"/>
    </row>
    <row r="16" s="59" customFormat="1" ht="6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409</v>
      </c>
      <c r="E17" s="72" t="s">
        <v>410</v>
      </c>
      <c r="F17" s="73" t="s">
        <v>411</v>
      </c>
      <c r="G17" s="72" t="s">
        <v>412</v>
      </c>
    </row>
    <row r="18" spans="1:14" s="59" customFormat="1" ht="14.25">
      <c r="A18" s="75" t="s">
        <v>14</v>
      </c>
      <c r="B18" s="41" t="s">
        <v>15</v>
      </c>
      <c r="C18" s="97">
        <f>C19+C20+C21+C22+C23</f>
        <v>13.68</v>
      </c>
      <c r="D18" s="76">
        <v>279800.97</v>
      </c>
      <c r="E18" s="76">
        <v>285194.83</v>
      </c>
      <c r="F18" s="76">
        <f aca="true" t="shared" si="0" ref="F18:F26">D18</f>
        <v>279800.97</v>
      </c>
      <c r="G18" s="77">
        <f aca="true" t="shared" si="1" ref="G18:G23">D18-E18</f>
        <v>-5393.860000000044</v>
      </c>
      <c r="H18" s="78">
        <f aca="true" t="shared" si="2" ref="H18:H23">C18</f>
        <v>13.68</v>
      </c>
      <c r="I18" s="79"/>
      <c r="J18" s="79"/>
      <c r="K18" s="79"/>
      <c r="M18" s="78"/>
      <c r="N18" s="80"/>
    </row>
    <row r="19" spans="1:9" s="59" customFormat="1" ht="15">
      <c r="A19" s="81" t="s">
        <v>16</v>
      </c>
      <c r="B19" s="34" t="s">
        <v>17</v>
      </c>
      <c r="C19" s="82">
        <v>3.46</v>
      </c>
      <c r="D19" s="83">
        <f>D18*I19</f>
        <v>70768.37399122807</v>
      </c>
      <c r="E19" s="83">
        <f>E18*I19</f>
        <v>72132.61051169592</v>
      </c>
      <c r="F19" s="83">
        <f t="shared" si="0"/>
        <v>70768.37399122807</v>
      </c>
      <c r="G19" s="84">
        <f t="shared" si="1"/>
        <v>-1364.23652046785</v>
      </c>
      <c r="H19" s="78">
        <f t="shared" si="2"/>
        <v>3.46</v>
      </c>
      <c r="I19" s="59">
        <f>H19/H18</f>
        <v>0.25292397660818716</v>
      </c>
    </row>
    <row r="20" spans="1:9" s="59" customFormat="1" ht="15">
      <c r="A20" s="81" t="s">
        <v>18</v>
      </c>
      <c r="B20" s="34" t="s">
        <v>19</v>
      </c>
      <c r="C20" s="82">
        <v>1.69</v>
      </c>
      <c r="D20" s="83">
        <f>D18*I20</f>
        <v>34566.055504385964</v>
      </c>
      <c r="E20" s="83">
        <f>E18*I20</f>
        <v>35232.40224415205</v>
      </c>
      <c r="F20" s="83">
        <f t="shared" si="0"/>
        <v>34566.055504385964</v>
      </c>
      <c r="G20" s="84">
        <f t="shared" si="1"/>
        <v>-666.3467397660861</v>
      </c>
      <c r="H20" s="78">
        <f t="shared" si="2"/>
        <v>1.69</v>
      </c>
      <c r="I20" s="59">
        <f>H20/H18</f>
        <v>0.12353801169590643</v>
      </c>
    </row>
    <row r="21" spans="1:9" s="59" customFormat="1" ht="15">
      <c r="A21" s="81" t="s">
        <v>20</v>
      </c>
      <c r="B21" s="34" t="s">
        <v>21</v>
      </c>
      <c r="C21" s="82">
        <v>1.99</v>
      </c>
      <c r="D21" s="83">
        <f>D18*I21</f>
        <v>40702.04168859649</v>
      </c>
      <c r="E21" s="83">
        <f>E18*I21</f>
        <v>41486.67483187134</v>
      </c>
      <c r="F21" s="83">
        <f t="shared" si="0"/>
        <v>40702.04168859649</v>
      </c>
      <c r="G21" s="84">
        <f t="shared" si="1"/>
        <v>-784.6331432748557</v>
      </c>
      <c r="H21" s="78">
        <f t="shared" si="2"/>
        <v>1.99</v>
      </c>
      <c r="I21" s="59">
        <f>H21/H18</f>
        <v>0.14546783625730994</v>
      </c>
    </row>
    <row r="22" spans="1:9" s="59" customFormat="1" ht="15">
      <c r="A22" s="81" t="s">
        <v>22</v>
      </c>
      <c r="B22" s="34" t="s">
        <v>23</v>
      </c>
      <c r="C22" s="82">
        <v>3.04</v>
      </c>
      <c r="D22" s="83">
        <f>D18*I22</f>
        <v>62177.99333333333</v>
      </c>
      <c r="E22" s="83">
        <f>E18*I22</f>
        <v>63376.628888888896</v>
      </c>
      <c r="F22" s="83">
        <f t="shared" si="0"/>
        <v>62177.99333333333</v>
      </c>
      <c r="G22" s="84">
        <f t="shared" si="1"/>
        <v>-1198.6355555555638</v>
      </c>
      <c r="H22" s="78">
        <f t="shared" si="2"/>
        <v>3.04</v>
      </c>
      <c r="I22" s="59">
        <f>H22/H18</f>
        <v>0.22222222222222224</v>
      </c>
    </row>
    <row r="23" spans="1:9" s="59" customFormat="1" ht="15">
      <c r="A23" s="81" t="s">
        <v>484</v>
      </c>
      <c r="B23" s="34" t="s">
        <v>143</v>
      </c>
      <c r="C23" s="82">
        <v>3.5</v>
      </c>
      <c r="D23" s="83">
        <f>I23*D18</f>
        <v>71586.50548245614</v>
      </c>
      <c r="E23" s="83">
        <f>I23*E18</f>
        <v>72966.51352339181</v>
      </c>
      <c r="F23" s="83">
        <f>D23</f>
        <v>71586.50548245614</v>
      </c>
      <c r="G23" s="84">
        <f t="shared" si="1"/>
        <v>-1380.0080409356742</v>
      </c>
      <c r="H23" s="78">
        <f t="shared" si="2"/>
        <v>3.5</v>
      </c>
      <c r="I23" s="59">
        <f>H23/H18</f>
        <v>0.25584795321637427</v>
      </c>
    </row>
    <row r="24" spans="1:11" s="89" customFormat="1" ht="14.25">
      <c r="A24" s="86" t="s">
        <v>25</v>
      </c>
      <c r="B24" s="86" t="s">
        <v>26</v>
      </c>
      <c r="C24" s="46">
        <v>3.86</v>
      </c>
      <c r="D24" s="87">
        <v>73422.18</v>
      </c>
      <c r="E24" s="87">
        <v>76339.99</v>
      </c>
      <c r="F24" s="87">
        <v>0</v>
      </c>
      <c r="G24" s="77">
        <f aca="true" t="shared" si="3" ref="G24:G33">D24-E24</f>
        <v>-2917.810000000012</v>
      </c>
      <c r="H24" s="88"/>
      <c r="I24" s="88"/>
      <c r="J24" s="88"/>
      <c r="K24" s="88"/>
    </row>
    <row r="25" spans="1:11" s="89" customFormat="1" ht="14.25">
      <c r="A25" s="86" t="s">
        <v>27</v>
      </c>
      <c r="B25" s="86" t="s">
        <v>467</v>
      </c>
      <c r="C25" s="46">
        <v>1.68</v>
      </c>
      <c r="D25" s="87">
        <v>2922.68</v>
      </c>
      <c r="E25" s="87">
        <v>7504.74</v>
      </c>
      <c r="F25" s="87">
        <f>D25</f>
        <v>2922.68</v>
      </c>
      <c r="G25" s="77">
        <f t="shared" si="3"/>
        <v>-4582.0599999999995</v>
      </c>
      <c r="H25" s="88"/>
      <c r="I25" s="88"/>
      <c r="J25" s="88"/>
      <c r="K25" s="88"/>
    </row>
    <row r="26" spans="1:11" s="89" customFormat="1" ht="14.25">
      <c r="A26" s="86" t="s">
        <v>29</v>
      </c>
      <c r="B26" s="86" t="s">
        <v>30</v>
      </c>
      <c r="C26" s="46">
        <v>0</v>
      </c>
      <c r="D26" s="87">
        <v>0</v>
      </c>
      <c r="E26" s="87">
        <v>0</v>
      </c>
      <c r="F26" s="87">
        <f t="shared" si="0"/>
        <v>0</v>
      </c>
      <c r="G26" s="77">
        <f t="shared" si="3"/>
        <v>0</v>
      </c>
      <c r="H26" s="88"/>
      <c r="I26" s="88"/>
      <c r="J26" s="88"/>
      <c r="K26" s="88"/>
    </row>
    <row r="27" spans="1:11" s="89" customFormat="1" ht="14.25">
      <c r="A27" s="86" t="s">
        <v>31</v>
      </c>
      <c r="B27" s="86" t="s">
        <v>116</v>
      </c>
      <c r="C27" s="95">
        <v>1.99</v>
      </c>
      <c r="D27" s="87">
        <v>41544</v>
      </c>
      <c r="E27" s="87">
        <v>43013.43</v>
      </c>
      <c r="F27" s="87">
        <f>F41</f>
        <v>47059.9343</v>
      </c>
      <c r="G27" s="77">
        <f t="shared" si="3"/>
        <v>-1469.4300000000003</v>
      </c>
      <c r="H27" s="88"/>
      <c r="I27" s="88"/>
      <c r="J27" s="88"/>
      <c r="K27" s="88"/>
    </row>
    <row r="28" spans="1:11" ht="14.25">
      <c r="A28" s="41" t="s">
        <v>33</v>
      </c>
      <c r="B28" s="41" t="s">
        <v>161</v>
      </c>
      <c r="C28" s="97">
        <v>12.54</v>
      </c>
      <c r="D28" s="77">
        <v>0</v>
      </c>
      <c r="E28" s="77">
        <v>0</v>
      </c>
      <c r="F28" s="87">
        <f>D28</f>
        <v>0</v>
      </c>
      <c r="G28" s="77">
        <f t="shared" si="3"/>
        <v>0</v>
      </c>
      <c r="H28" s="98"/>
      <c r="I28" s="98"/>
      <c r="J28" s="98"/>
      <c r="K28" s="98"/>
    </row>
    <row r="29" spans="1:11" ht="14.25">
      <c r="A29" s="41" t="s">
        <v>35</v>
      </c>
      <c r="B29" s="41" t="s">
        <v>36</v>
      </c>
      <c r="C29" s="97"/>
      <c r="D29" s="77">
        <f>SUM(D30:D33)</f>
        <v>556631.74</v>
      </c>
      <c r="E29" s="77">
        <f>SUM(E30:E33)</f>
        <v>586465.95</v>
      </c>
      <c r="F29" s="77">
        <f>SUM(F30:F33)</f>
        <v>556631.74</v>
      </c>
      <c r="G29" s="77">
        <f t="shared" si="3"/>
        <v>-29834.209999999963</v>
      </c>
      <c r="H29" s="98"/>
      <c r="I29" s="98"/>
      <c r="J29" s="98"/>
      <c r="K29" s="98"/>
    </row>
    <row r="30" spans="1:7" ht="15">
      <c r="A30" s="34" t="s">
        <v>37</v>
      </c>
      <c r="B30" s="34" t="s">
        <v>165</v>
      </c>
      <c r="C30" s="293">
        <v>4.2</v>
      </c>
      <c r="D30" s="84">
        <v>21780.72</v>
      </c>
      <c r="E30" s="84">
        <v>22470.37</v>
      </c>
      <c r="F30" s="84">
        <f>D30</f>
        <v>21780.72</v>
      </c>
      <c r="G30" s="84">
        <f t="shared" si="3"/>
        <v>-689.6499999999978</v>
      </c>
    </row>
    <row r="31" spans="1:7" ht="15">
      <c r="A31" s="34" t="s">
        <v>39</v>
      </c>
      <c r="B31" s="34" t="s">
        <v>137</v>
      </c>
      <c r="C31" s="285">
        <v>57.08</v>
      </c>
      <c r="D31" s="84">
        <v>94177.88</v>
      </c>
      <c r="E31" s="84">
        <v>97451.85</v>
      </c>
      <c r="F31" s="84">
        <f>D31</f>
        <v>94177.88</v>
      </c>
      <c r="G31" s="84">
        <f t="shared" si="3"/>
        <v>-3273.970000000001</v>
      </c>
    </row>
    <row r="32" spans="1:7" ht="15">
      <c r="A32" s="34" t="s">
        <v>42</v>
      </c>
      <c r="B32" s="34" t="s">
        <v>340</v>
      </c>
      <c r="C32" s="286">
        <v>211.65</v>
      </c>
      <c r="D32" s="210">
        <v>132386.84</v>
      </c>
      <c r="E32" s="210">
        <v>147305.72</v>
      </c>
      <c r="F32" s="84">
        <f>D32</f>
        <v>132386.84</v>
      </c>
      <c r="G32" s="84">
        <f t="shared" si="3"/>
        <v>-14918.880000000005</v>
      </c>
    </row>
    <row r="33" spans="1:7" ht="15">
      <c r="A33" s="34" t="s">
        <v>41</v>
      </c>
      <c r="B33" s="34" t="s">
        <v>43</v>
      </c>
      <c r="C33" s="285">
        <v>2638.8</v>
      </c>
      <c r="D33" s="84">
        <v>308286.3</v>
      </c>
      <c r="E33" s="84">
        <v>319238.01</v>
      </c>
      <c r="F33" s="84">
        <f>D33</f>
        <v>308286.3</v>
      </c>
      <c r="G33" s="84">
        <f t="shared" si="3"/>
        <v>-10951.710000000021</v>
      </c>
    </row>
    <row r="34" spans="1:9" s="102" customFormat="1" ht="21" customHeight="1" thickBot="1">
      <c r="A34" s="446" t="s">
        <v>294</v>
      </c>
      <c r="B34" s="447"/>
      <c r="C34" s="447"/>
      <c r="D34" s="448"/>
      <c r="E34" s="448"/>
      <c r="F34" s="448"/>
      <c r="G34" s="101"/>
      <c r="H34" s="101"/>
      <c r="I34" s="101"/>
    </row>
    <row r="35" spans="1:9" s="67" customFormat="1" ht="15.75" thickBot="1">
      <c r="A35" s="455" t="s">
        <v>413</v>
      </c>
      <c r="B35" s="456"/>
      <c r="C35" s="456"/>
      <c r="D35" s="65">
        <v>134317.99</v>
      </c>
      <c r="E35" s="66"/>
      <c r="F35" s="66"/>
      <c r="G35" s="66"/>
      <c r="H35" s="62"/>
      <c r="I35" s="62"/>
    </row>
    <row r="36" spans="1:9" s="67" customFormat="1" ht="6" customHeight="1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415</v>
      </c>
      <c r="B37" s="64"/>
      <c r="C37" s="64"/>
      <c r="D37" s="69"/>
      <c r="E37" s="70"/>
      <c r="F37" s="70"/>
      <c r="G37" s="144">
        <f>G15+E27-F27-G25</f>
        <v>68202.07360000003</v>
      </c>
      <c r="H37" s="62"/>
      <c r="I37" s="359" t="s">
        <v>812</v>
      </c>
    </row>
    <row r="38" spans="1:11" ht="31.5" customHeight="1">
      <c r="A38" s="444" t="s">
        <v>179</v>
      </c>
      <c r="B38" s="444"/>
      <c r="C38" s="444"/>
      <c r="D38" s="444"/>
      <c r="E38" s="444"/>
      <c r="F38" s="444"/>
      <c r="G38" s="444"/>
      <c r="H38" s="444"/>
      <c r="I38" s="444"/>
      <c r="J38" s="444"/>
      <c r="K38" s="444"/>
    </row>
    <row r="40" spans="1:12" s="74" customFormat="1" ht="37.5" customHeight="1">
      <c r="A40" s="105" t="s">
        <v>11</v>
      </c>
      <c r="B40" s="471" t="s">
        <v>45</v>
      </c>
      <c r="C40" s="484"/>
      <c r="D40" s="105" t="s">
        <v>163</v>
      </c>
      <c r="E40" s="105" t="s">
        <v>162</v>
      </c>
      <c r="F40" s="471" t="s">
        <v>46</v>
      </c>
      <c r="G40" s="484"/>
      <c r="H40" s="244"/>
      <c r="I40" s="245"/>
      <c r="L40" s="108"/>
    </row>
    <row r="41" spans="1:12" s="114" customFormat="1" ht="15" customHeight="1">
      <c r="A41" s="109" t="s">
        <v>47</v>
      </c>
      <c r="B41" s="473" t="s">
        <v>111</v>
      </c>
      <c r="C41" s="491"/>
      <c r="D41" s="110"/>
      <c r="E41" s="110"/>
      <c r="F41" s="496">
        <f>SUM(F42:G46)</f>
        <v>47059.9343</v>
      </c>
      <c r="G41" s="483"/>
      <c r="H41" s="246"/>
      <c r="I41" s="247"/>
      <c r="L41" s="115"/>
    </row>
    <row r="42" spans="1:12" ht="27.75" customHeight="1">
      <c r="A42" s="34" t="s">
        <v>16</v>
      </c>
      <c r="B42" s="462" t="s">
        <v>728</v>
      </c>
      <c r="C42" s="489"/>
      <c r="D42" s="403" t="s">
        <v>164</v>
      </c>
      <c r="E42" s="403">
        <v>1</v>
      </c>
      <c r="F42" s="525">
        <v>33029.8</v>
      </c>
      <c r="G42" s="526"/>
      <c r="H42" s="248"/>
      <c r="I42" s="249"/>
      <c r="L42" s="119"/>
    </row>
    <row r="43" spans="1:12" ht="15">
      <c r="A43" s="34" t="s">
        <v>18</v>
      </c>
      <c r="B43" s="462" t="s">
        <v>729</v>
      </c>
      <c r="C43" s="489"/>
      <c r="D43" s="403" t="s">
        <v>164</v>
      </c>
      <c r="E43" s="403">
        <v>8</v>
      </c>
      <c r="F43" s="525">
        <v>1600</v>
      </c>
      <c r="G43" s="526"/>
      <c r="H43" s="40"/>
      <c r="I43" s="40"/>
      <c r="L43" s="119"/>
    </row>
    <row r="44" spans="1:12" ht="15">
      <c r="A44" s="34" t="s">
        <v>20</v>
      </c>
      <c r="B44" s="462" t="s">
        <v>401</v>
      </c>
      <c r="C44" s="489"/>
      <c r="D44" s="403"/>
      <c r="E44" s="403"/>
      <c r="F44" s="525">
        <v>12000</v>
      </c>
      <c r="G44" s="526"/>
      <c r="H44" s="40"/>
      <c r="I44" s="40"/>
      <c r="L44" s="119"/>
    </row>
    <row r="45" spans="1:12" ht="15">
      <c r="A45" s="34" t="s">
        <v>22</v>
      </c>
      <c r="B45" s="462"/>
      <c r="C45" s="489"/>
      <c r="D45" s="403"/>
      <c r="E45" s="403"/>
      <c r="F45" s="525"/>
      <c r="G45" s="526"/>
      <c r="H45" s="40"/>
      <c r="I45" s="40"/>
      <c r="L45" s="119"/>
    </row>
    <row r="46" spans="1:11" s="67" customFormat="1" ht="15">
      <c r="A46" s="34" t="s">
        <v>24</v>
      </c>
      <c r="B46" s="511" t="s">
        <v>188</v>
      </c>
      <c r="C46" s="512"/>
      <c r="D46" s="123"/>
      <c r="E46" s="123"/>
      <c r="F46" s="495">
        <f>E27*1%</f>
        <v>430.1343</v>
      </c>
      <c r="G46" s="495"/>
      <c r="H46" s="59"/>
      <c r="I46" s="59"/>
      <c r="J46" s="59"/>
      <c r="K46" s="59"/>
    </row>
    <row r="47" s="59" customFormat="1" ht="9" customHeight="1"/>
    <row r="48" spans="1:11" s="59" customFormat="1" ht="15">
      <c r="A48" s="67" t="s">
        <v>55</v>
      </c>
      <c r="B48" s="67"/>
      <c r="C48" s="125" t="s">
        <v>49</v>
      </c>
      <c r="D48" s="67"/>
      <c r="E48" s="67"/>
      <c r="F48" s="67" t="s">
        <v>90</v>
      </c>
      <c r="G48" s="67"/>
      <c r="H48" s="67"/>
      <c r="I48" s="67"/>
      <c r="J48" s="67"/>
      <c r="K48" s="67"/>
    </row>
    <row r="49" spans="1:7" s="59" customFormat="1" ht="15">
      <c r="A49" s="67"/>
      <c r="B49" s="67"/>
      <c r="C49" s="125"/>
      <c r="D49" s="67"/>
      <c r="E49" s="67"/>
      <c r="F49" s="126" t="s">
        <v>545</v>
      </c>
      <c r="G49" s="67"/>
    </row>
    <row r="50" spans="1:10" s="59" customFormat="1" ht="15">
      <c r="A50" s="67" t="s">
        <v>50</v>
      </c>
      <c r="B50" s="67"/>
      <c r="C50" s="125"/>
      <c r="D50" s="67"/>
      <c r="E50" s="67"/>
      <c r="F50" s="67"/>
      <c r="G50" s="67"/>
      <c r="H50" s="156"/>
      <c r="I50" s="156"/>
      <c r="J50" s="156"/>
    </row>
    <row r="51" spans="1:11" ht="15">
      <c r="A51" s="67"/>
      <c r="B51" s="67"/>
      <c r="C51" s="127" t="s">
        <v>51</v>
      </c>
      <c r="D51" s="67"/>
      <c r="E51" s="128"/>
      <c r="F51" s="128"/>
      <c r="G51" s="128"/>
      <c r="H51" s="59"/>
      <c r="I51" s="59"/>
      <c r="J51" s="59"/>
      <c r="K51" s="59"/>
    </row>
    <row r="52" spans="1:11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</row>
  </sheetData>
  <sheetProtection/>
  <mergeCells count="25">
    <mergeCell ref="B45:C45"/>
    <mergeCell ref="F45:G45"/>
    <mergeCell ref="B46:C46"/>
    <mergeCell ref="F46:G46"/>
    <mergeCell ref="B41:C41"/>
    <mergeCell ref="F41:G41"/>
    <mergeCell ref="B42:C42"/>
    <mergeCell ref="F42:G42"/>
    <mergeCell ref="B43:C43"/>
    <mergeCell ref="B44:C44"/>
    <mergeCell ref="F43:G43"/>
    <mergeCell ref="F44:G44"/>
    <mergeCell ref="A12:K12"/>
    <mergeCell ref="A13:C13"/>
    <mergeCell ref="A35:C35"/>
    <mergeCell ref="A38:K38"/>
    <mergeCell ref="B40:C40"/>
    <mergeCell ref="F40:G40"/>
    <mergeCell ref="A34:F34"/>
    <mergeCell ref="A1:K1"/>
    <mergeCell ref="A2:K2"/>
    <mergeCell ref="A3:K3"/>
    <mergeCell ref="A5:K5"/>
    <mergeCell ref="A10:K10"/>
    <mergeCell ref="A11:K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7030A0"/>
  </sheetPr>
  <dimension ref="A1:N52"/>
  <sheetViews>
    <sheetView zoomScalePageLayoutView="0" workbookViewId="0" topLeftCell="A41">
      <selection activeCell="F45" sqref="F45:G45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8" s="59" customFormat="1" ht="16.5" customHeight="1">
      <c r="A7" s="59" t="s">
        <v>2</v>
      </c>
      <c r="F7" s="60" t="s">
        <v>207</v>
      </c>
      <c r="H7" s="60"/>
    </row>
    <row r="8" spans="1:8" s="59" customFormat="1" ht="12.75">
      <c r="A8" s="59" t="s">
        <v>3</v>
      </c>
      <c r="F8" s="301" t="s">
        <v>315</v>
      </c>
      <c r="H8" s="60"/>
    </row>
    <row r="9" spans="1:11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431</v>
      </c>
      <c r="B13" s="64"/>
      <c r="C13" s="64"/>
      <c r="D13" s="69"/>
      <c r="E13" s="70"/>
      <c r="F13" s="70"/>
      <c r="G13" s="65">
        <f>'[2]Добровольского 14'!$G$34</f>
        <v>-66948.8014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4" s="59" customFormat="1" ht="14.25">
      <c r="A16" s="75" t="s">
        <v>14</v>
      </c>
      <c r="B16" s="41" t="s">
        <v>15</v>
      </c>
      <c r="C16" s="97">
        <f>C17+C18+C19+C20</f>
        <v>9.879999999999999</v>
      </c>
      <c r="D16" s="76">
        <v>405176.53</v>
      </c>
      <c r="E16" s="76">
        <v>396713.16</v>
      </c>
      <c r="F16" s="76">
        <f aca="true" t="shared" si="0" ref="F16:F23">D16</f>
        <v>405176.53</v>
      </c>
      <c r="G16" s="77">
        <f>D16-E16</f>
        <v>8463.370000000054</v>
      </c>
      <c r="H16" s="78">
        <f>C16</f>
        <v>9.879999999999999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141893.80504048587</v>
      </c>
      <c r="E17" s="83">
        <f>E16*I17</f>
        <v>138929.9123076923</v>
      </c>
      <c r="F17" s="83">
        <f t="shared" si="0"/>
        <v>141893.80504048587</v>
      </c>
      <c r="G17" s="84">
        <f>D17-E17</f>
        <v>2963.8927327935526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69306.51171052632</v>
      </c>
      <c r="E18" s="83">
        <f>E16*I18</f>
        <v>67858.83</v>
      </c>
      <c r="F18" s="83">
        <f t="shared" si="0"/>
        <v>69306.51171052632</v>
      </c>
      <c r="G18" s="84">
        <f>D18-E18</f>
        <v>1447.681710526318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82">
        <v>1.69</v>
      </c>
      <c r="D19" s="83">
        <f>D16*I19</f>
        <v>69306.51171052632</v>
      </c>
      <c r="E19" s="83">
        <f>E16*I19</f>
        <v>67858.83</v>
      </c>
      <c r="F19" s="83">
        <f t="shared" si="0"/>
        <v>69306.51171052632</v>
      </c>
      <c r="G19" s="84">
        <f>D19-E19</f>
        <v>1447.681710526318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124669.70153846155</v>
      </c>
      <c r="E20" s="83">
        <f>E16*I20</f>
        <v>122065.58769230769</v>
      </c>
      <c r="F20" s="83">
        <f t="shared" si="0"/>
        <v>124669.70153846155</v>
      </c>
      <c r="G20" s="84">
        <f>D20-E20</f>
        <v>2604.113846153865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</v>
      </c>
      <c r="C21" s="46">
        <v>0</v>
      </c>
      <c r="D21" s="87">
        <v>0</v>
      </c>
      <c r="E21" s="87">
        <v>0</v>
      </c>
      <c r="F21" s="87">
        <v>0</v>
      </c>
      <c r="G21" s="87">
        <f>E21-D21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278</v>
      </c>
      <c r="C22" s="46" t="s">
        <v>804</v>
      </c>
      <c r="D22" s="87">
        <v>168000</v>
      </c>
      <c r="E22" s="87">
        <v>164974.29</v>
      </c>
      <c r="F22" s="87">
        <f>D22</f>
        <v>168000</v>
      </c>
      <c r="G22" s="77">
        <f aca="true" t="shared" si="1" ref="G22:G30">D22-E22</f>
        <v>3025.709999999992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1.86</v>
      </c>
      <c r="D24" s="87">
        <v>73870.08</v>
      </c>
      <c r="E24" s="87">
        <v>72797.04</v>
      </c>
      <c r="F24" s="87">
        <f>F38</f>
        <v>55297.8304</v>
      </c>
      <c r="G24" s="77">
        <f t="shared" si="1"/>
        <v>1073.0400000000081</v>
      </c>
      <c r="H24" s="88"/>
      <c r="I24" s="88"/>
      <c r="J24" s="88"/>
      <c r="K24" s="88"/>
    </row>
    <row r="25" spans="1:11" ht="14.25">
      <c r="A25" s="41" t="s">
        <v>33</v>
      </c>
      <c r="B25" s="41" t="s">
        <v>161</v>
      </c>
      <c r="C25" s="97" t="s">
        <v>297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2017671.49</v>
      </c>
      <c r="E26" s="77">
        <f>SUM(E27:E30)</f>
        <v>1981910.2000000002</v>
      </c>
      <c r="F26" s="77">
        <f>SUM(F27:F30)</f>
        <v>2017671.49</v>
      </c>
      <c r="G26" s="77">
        <f t="shared" si="1"/>
        <v>35761.289999999804</v>
      </c>
      <c r="H26" s="98"/>
      <c r="I26" s="98"/>
      <c r="J26" s="98"/>
      <c r="K26" s="98"/>
    </row>
    <row r="27" spans="1:7" ht="15">
      <c r="A27" s="34" t="s">
        <v>37</v>
      </c>
      <c r="B27" s="34" t="s">
        <v>165</v>
      </c>
      <c r="C27" s="293">
        <v>6</v>
      </c>
      <c r="D27" s="84">
        <v>37910.29</v>
      </c>
      <c r="E27" s="84">
        <v>36904.58</v>
      </c>
      <c r="F27" s="84">
        <f>D27</f>
        <v>37910.29</v>
      </c>
      <c r="G27" s="84">
        <f t="shared" si="1"/>
        <v>1005.7099999999991</v>
      </c>
    </row>
    <row r="28" spans="1:7" ht="15">
      <c r="A28" s="34" t="s">
        <v>39</v>
      </c>
      <c r="B28" s="34" t="s">
        <v>137</v>
      </c>
      <c r="C28" s="285">
        <v>57.08</v>
      </c>
      <c r="D28" s="84">
        <v>492269.48</v>
      </c>
      <c r="E28" s="84">
        <v>498831.52</v>
      </c>
      <c r="F28" s="84">
        <f>D28</f>
        <v>492269.48</v>
      </c>
      <c r="G28" s="84">
        <f t="shared" si="1"/>
        <v>-6562.040000000037</v>
      </c>
    </row>
    <row r="29" spans="1:7" ht="15">
      <c r="A29" s="34" t="s">
        <v>42</v>
      </c>
      <c r="B29" s="34" t="s">
        <v>40</v>
      </c>
      <c r="C29" s="143">
        <v>0</v>
      </c>
      <c r="D29" s="210">
        <v>0</v>
      </c>
      <c r="E29" s="210">
        <v>0</v>
      </c>
      <c r="F29" s="84">
        <f>D29</f>
        <v>0</v>
      </c>
      <c r="G29" s="84">
        <f t="shared" si="1"/>
        <v>0</v>
      </c>
    </row>
    <row r="30" spans="1:7" ht="15">
      <c r="A30" s="34" t="s">
        <v>41</v>
      </c>
      <c r="B30" s="34" t="s">
        <v>43</v>
      </c>
      <c r="C30" s="285">
        <v>2638.8</v>
      </c>
      <c r="D30" s="84">
        <v>1487491.72</v>
      </c>
      <c r="E30" s="84">
        <v>1446174.1</v>
      </c>
      <c r="F30" s="84">
        <f>D30</f>
        <v>1487491.72</v>
      </c>
      <c r="G30" s="84">
        <f t="shared" si="1"/>
        <v>41317.61999999988</v>
      </c>
    </row>
    <row r="31" spans="1:9" s="102" customFormat="1" ht="24" customHeight="1" thickBot="1">
      <c r="A31" s="446" t="s">
        <v>294</v>
      </c>
      <c r="B31" s="447"/>
      <c r="C31" s="447"/>
      <c r="D31" s="448"/>
      <c r="E31" s="448"/>
      <c r="F31" s="448"/>
      <c r="G31" s="101"/>
      <c r="H31" s="101"/>
      <c r="I31" s="101"/>
    </row>
    <row r="32" spans="1:9" s="67" customFormat="1" ht="15.75" thickBot="1">
      <c r="A32" s="455" t="s">
        <v>413</v>
      </c>
      <c r="B32" s="456"/>
      <c r="C32" s="456"/>
      <c r="D32" s="65">
        <v>1075520.46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415</v>
      </c>
      <c r="B34" s="64"/>
      <c r="C34" s="64"/>
      <c r="D34" s="69"/>
      <c r="E34" s="70"/>
      <c r="F34" s="70"/>
      <c r="G34" s="144">
        <f>G13+E24-F24</f>
        <v>-49449.5918</v>
      </c>
      <c r="H34" s="62"/>
      <c r="I34" s="62"/>
    </row>
    <row r="35" spans="1:11" ht="31.5" customHeight="1">
      <c r="A35" s="444" t="s">
        <v>179</v>
      </c>
      <c r="B35" s="444"/>
      <c r="C35" s="444"/>
      <c r="D35" s="444"/>
      <c r="E35" s="444"/>
      <c r="F35" s="444"/>
      <c r="G35" s="444"/>
      <c r="H35" s="444"/>
      <c r="I35" s="444"/>
      <c r="J35" s="444"/>
      <c r="K35" s="444"/>
    </row>
    <row r="37" spans="1:12" s="74" customFormat="1" ht="37.5" customHeight="1">
      <c r="A37" s="105" t="s">
        <v>11</v>
      </c>
      <c r="B37" s="471" t="s">
        <v>45</v>
      </c>
      <c r="C37" s="484"/>
      <c r="D37" s="105" t="s">
        <v>163</v>
      </c>
      <c r="E37" s="105" t="s">
        <v>162</v>
      </c>
      <c r="F37" s="471" t="s">
        <v>46</v>
      </c>
      <c r="G37" s="484"/>
      <c r="H37" s="244"/>
      <c r="I37" s="245"/>
      <c r="L37" s="108"/>
    </row>
    <row r="38" spans="1:12" s="114" customFormat="1" ht="15" customHeight="1">
      <c r="A38" s="109" t="s">
        <v>47</v>
      </c>
      <c r="B38" s="473" t="s">
        <v>111</v>
      </c>
      <c r="C38" s="491"/>
      <c r="D38" s="110"/>
      <c r="E38" s="110"/>
      <c r="F38" s="496">
        <f>SUM(F39:G46)</f>
        <v>55297.8304</v>
      </c>
      <c r="G38" s="483"/>
      <c r="H38" s="246"/>
      <c r="I38" s="247"/>
      <c r="L38" s="115"/>
    </row>
    <row r="39" spans="1:12" ht="15">
      <c r="A39" s="34" t="s">
        <v>16</v>
      </c>
      <c r="B39" s="462" t="s">
        <v>681</v>
      </c>
      <c r="C39" s="498"/>
      <c r="D39" s="345"/>
      <c r="E39" s="345" t="s">
        <v>402</v>
      </c>
      <c r="F39" s="618">
        <v>961</v>
      </c>
      <c r="G39" s="619"/>
      <c r="H39" s="248"/>
      <c r="I39" s="249"/>
      <c r="L39" s="119"/>
    </row>
    <row r="40" spans="1:12" ht="15">
      <c r="A40" s="34" t="s">
        <v>18</v>
      </c>
      <c r="B40" s="462" t="s">
        <v>682</v>
      </c>
      <c r="C40" s="498"/>
      <c r="D40" s="345"/>
      <c r="E40" s="345"/>
      <c r="F40" s="618">
        <v>18200</v>
      </c>
      <c r="G40" s="619"/>
      <c r="H40" s="40"/>
      <c r="I40" s="40"/>
      <c r="L40" s="119"/>
    </row>
    <row r="41" spans="1:12" ht="15">
      <c r="A41" s="34" t="s">
        <v>20</v>
      </c>
      <c r="B41" s="462" t="s">
        <v>683</v>
      </c>
      <c r="C41" s="498"/>
      <c r="D41" s="345" t="s">
        <v>227</v>
      </c>
      <c r="E41" s="345">
        <v>0.01</v>
      </c>
      <c r="F41" s="618">
        <v>20429.11</v>
      </c>
      <c r="G41" s="619"/>
      <c r="H41" s="40"/>
      <c r="I41" s="40"/>
      <c r="L41" s="119"/>
    </row>
    <row r="42" spans="1:12" ht="15">
      <c r="A42" s="34" t="s">
        <v>22</v>
      </c>
      <c r="B42" s="493" t="s">
        <v>730</v>
      </c>
      <c r="C42" s="640"/>
      <c r="D42" s="345"/>
      <c r="E42" s="345"/>
      <c r="F42" s="618">
        <v>783.25</v>
      </c>
      <c r="G42" s="619"/>
      <c r="H42" s="40"/>
      <c r="I42" s="40"/>
      <c r="L42" s="119"/>
    </row>
    <row r="43" spans="1:12" ht="15">
      <c r="A43" s="34" t="s">
        <v>24</v>
      </c>
      <c r="B43" s="462" t="s">
        <v>544</v>
      </c>
      <c r="C43" s="498"/>
      <c r="D43" s="345"/>
      <c r="E43" s="345"/>
      <c r="F43" s="618">
        <v>2996.5</v>
      </c>
      <c r="G43" s="619"/>
      <c r="H43" s="40"/>
      <c r="I43" s="40"/>
      <c r="L43" s="119"/>
    </row>
    <row r="44" spans="1:12" ht="15" customHeight="1">
      <c r="A44" s="34" t="s">
        <v>103</v>
      </c>
      <c r="B44" s="449" t="s">
        <v>814</v>
      </c>
      <c r="C44" s="451"/>
      <c r="D44" s="118" t="s">
        <v>391</v>
      </c>
      <c r="E44" s="118">
        <v>4</v>
      </c>
      <c r="F44" s="495">
        <v>11200</v>
      </c>
      <c r="G44" s="495"/>
      <c r="H44" s="40"/>
      <c r="I44" s="40"/>
      <c r="L44" s="119"/>
    </row>
    <row r="45" spans="1:12" ht="21" customHeight="1">
      <c r="A45" s="34" t="s">
        <v>104</v>
      </c>
      <c r="B45" s="462"/>
      <c r="C45" s="498"/>
      <c r="D45" s="403"/>
      <c r="E45" s="403"/>
      <c r="F45" s="497"/>
      <c r="G45" s="497"/>
      <c r="H45" s="40"/>
      <c r="I45" s="40"/>
      <c r="L45" s="119"/>
    </row>
    <row r="46" spans="1:11" s="67" customFormat="1" ht="15">
      <c r="A46" s="34" t="s">
        <v>117</v>
      </c>
      <c r="B46" s="511" t="s">
        <v>188</v>
      </c>
      <c r="C46" s="512"/>
      <c r="D46" s="123"/>
      <c r="E46" s="123"/>
      <c r="F46" s="495">
        <f>E24*1%</f>
        <v>727.9703999999999</v>
      </c>
      <c r="G46" s="495"/>
      <c r="H46" s="59"/>
      <c r="I46" s="59"/>
      <c r="J46" s="59"/>
      <c r="K46" s="59"/>
    </row>
    <row r="47" s="59" customFormat="1" ht="9" customHeight="1"/>
    <row r="48" spans="1:11" s="59" customFormat="1" ht="15">
      <c r="A48" s="67" t="s">
        <v>55</v>
      </c>
      <c r="B48" s="67"/>
      <c r="C48" s="125" t="s">
        <v>49</v>
      </c>
      <c r="D48" s="67"/>
      <c r="E48" s="67"/>
      <c r="F48" s="67" t="s">
        <v>90</v>
      </c>
      <c r="G48" s="67"/>
      <c r="H48" s="67"/>
      <c r="I48" s="67"/>
      <c r="J48" s="67"/>
      <c r="K48" s="67"/>
    </row>
    <row r="49" spans="1:7" s="59" customFormat="1" ht="15">
      <c r="A49" s="67"/>
      <c r="B49" s="67"/>
      <c r="C49" s="125"/>
      <c r="D49" s="67"/>
      <c r="E49" s="67"/>
      <c r="F49" s="126" t="s">
        <v>545</v>
      </c>
      <c r="G49" s="67"/>
    </row>
    <row r="50" spans="1:10" s="59" customFormat="1" ht="15">
      <c r="A50" s="67" t="s">
        <v>50</v>
      </c>
      <c r="B50" s="67"/>
      <c r="C50" s="125"/>
      <c r="D50" s="67"/>
      <c r="E50" s="67"/>
      <c r="F50" s="67"/>
      <c r="G50" s="67"/>
      <c r="H50" s="156"/>
      <c r="I50" s="156"/>
      <c r="J50" s="156"/>
    </row>
    <row r="51" spans="1:11" ht="15">
      <c r="A51" s="67"/>
      <c r="B51" s="67"/>
      <c r="C51" s="127" t="s">
        <v>51</v>
      </c>
      <c r="D51" s="67"/>
      <c r="E51" s="128"/>
      <c r="F51" s="128"/>
      <c r="G51" s="128"/>
      <c r="H51" s="59"/>
      <c r="I51" s="59"/>
      <c r="J51" s="59"/>
      <c r="K51" s="59"/>
    </row>
    <row r="52" spans="1:11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</row>
  </sheetData>
  <sheetProtection/>
  <mergeCells count="30">
    <mergeCell ref="B46:C46"/>
    <mergeCell ref="F46:G46"/>
    <mergeCell ref="F42:G42"/>
    <mergeCell ref="F43:G43"/>
    <mergeCell ref="F44:G44"/>
    <mergeCell ref="B42:C42"/>
    <mergeCell ref="B43:C43"/>
    <mergeCell ref="B44:C44"/>
    <mergeCell ref="B45:C45"/>
    <mergeCell ref="F45:G45"/>
    <mergeCell ref="B39:C39"/>
    <mergeCell ref="F39:G39"/>
    <mergeCell ref="B40:C40"/>
    <mergeCell ref="F40:G40"/>
    <mergeCell ref="B41:C41"/>
    <mergeCell ref="F41:G41"/>
    <mergeCell ref="A32:C32"/>
    <mergeCell ref="A35:K35"/>
    <mergeCell ref="B37:C37"/>
    <mergeCell ref="F37:G37"/>
    <mergeCell ref="B38:C38"/>
    <mergeCell ref="F38:G38"/>
    <mergeCell ref="A31:F31"/>
    <mergeCell ref="A11:K11"/>
    <mergeCell ref="A1:K1"/>
    <mergeCell ref="A2:K2"/>
    <mergeCell ref="A3:K3"/>
    <mergeCell ref="A5:K5"/>
    <mergeCell ref="A9:K9"/>
    <mergeCell ref="A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7030A0"/>
  </sheetPr>
  <dimension ref="A1:N50"/>
  <sheetViews>
    <sheetView zoomScalePageLayoutView="0" workbookViewId="0" topLeftCell="A33">
      <selection activeCell="B41" sqref="B41:G41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10" s="59" customFormat="1" ht="16.5" customHeight="1">
      <c r="A7" s="59" t="s">
        <v>2</v>
      </c>
      <c r="F7" s="60" t="s">
        <v>208</v>
      </c>
      <c r="H7" s="242"/>
      <c r="I7" s="251"/>
      <c r="J7" s="251"/>
    </row>
    <row r="8" spans="1:10" s="59" customFormat="1" ht="12.75">
      <c r="A8" s="59" t="s">
        <v>3</v>
      </c>
      <c r="F8" s="301" t="s">
        <v>379</v>
      </c>
      <c r="H8" s="273">
        <f>I8+J8</f>
        <v>3115.9</v>
      </c>
      <c r="I8" s="61">
        <v>59.6</v>
      </c>
      <c r="J8" s="61">
        <v>3056.3</v>
      </c>
    </row>
    <row r="9" spans="2:10" s="59" customFormat="1" ht="12.75">
      <c r="B9" s="59" t="s">
        <v>507</v>
      </c>
      <c r="F9" s="301" t="s">
        <v>736</v>
      </c>
      <c r="H9" s="273"/>
      <c r="I9" s="61"/>
      <c r="J9" s="61"/>
    </row>
    <row r="10" spans="1:11" s="59" customFormat="1" ht="12.7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11" s="59" customFormat="1" ht="12.7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431</v>
      </c>
      <c r="B14" s="64"/>
      <c r="C14" s="64"/>
      <c r="D14" s="69"/>
      <c r="E14" s="70"/>
      <c r="F14" s="70"/>
      <c r="G14" s="65">
        <f>'[2]Чижевского 12'!$G$34</f>
        <v>80065.02949999996</v>
      </c>
      <c r="H14" s="62"/>
      <c r="I14" s="62"/>
    </row>
    <row r="15" s="59" customFormat="1" ht="6.75" customHeight="1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</row>
    <row r="17" spans="1:14" s="59" customFormat="1" ht="14.25">
      <c r="A17" s="75" t="s">
        <v>14</v>
      </c>
      <c r="B17" s="41" t="s">
        <v>15</v>
      </c>
      <c r="C17" s="97">
        <f>C18+C19+C20+C21+C22</f>
        <v>12.559999999999999</v>
      </c>
      <c r="D17" s="76">
        <v>469740.72</v>
      </c>
      <c r="E17" s="76">
        <v>459114.28</v>
      </c>
      <c r="F17" s="76">
        <f aca="true" t="shared" si="0" ref="F17:F25">D17</f>
        <v>469740.72</v>
      </c>
      <c r="G17" s="77">
        <f aca="true" t="shared" si="1" ref="G17:G22">D17-E17</f>
        <v>10626.439999999944</v>
      </c>
      <c r="H17" s="78">
        <f aca="true" t="shared" si="2" ref="H17:H22">C17</f>
        <v>12.559999999999999</v>
      </c>
      <c r="I17" s="79"/>
      <c r="J17" s="79">
        <f>D17/3115.9/12</f>
        <v>12.56300266375686</v>
      </c>
      <c r="K17" s="79"/>
      <c r="M17" s="78"/>
      <c r="N17" s="80"/>
    </row>
    <row r="18" spans="1:9" s="59" customFormat="1" ht="15">
      <c r="A18" s="81" t="s">
        <v>16</v>
      </c>
      <c r="B18" s="34" t="s">
        <v>17</v>
      </c>
      <c r="C18" s="82">
        <v>3.46</v>
      </c>
      <c r="D18" s="83">
        <f>D17*I18</f>
        <v>129403.09643312104</v>
      </c>
      <c r="E18" s="83">
        <f>E17*I18</f>
        <v>126475.74910828029</v>
      </c>
      <c r="F18" s="83">
        <f t="shared" si="0"/>
        <v>129403.09643312104</v>
      </c>
      <c r="G18" s="84">
        <f t="shared" si="1"/>
        <v>2927.3473248407536</v>
      </c>
      <c r="H18" s="78">
        <f t="shared" si="2"/>
        <v>3.46</v>
      </c>
      <c r="I18" s="59">
        <f>H18/H17</f>
        <v>0.2754777070063695</v>
      </c>
    </row>
    <row r="19" spans="1:9" s="59" customFormat="1" ht="15">
      <c r="A19" s="81" t="s">
        <v>18</v>
      </c>
      <c r="B19" s="34" t="s">
        <v>19</v>
      </c>
      <c r="C19" s="82">
        <v>1.69</v>
      </c>
      <c r="D19" s="83">
        <f>D17*I19</f>
        <v>63205.55866242038</v>
      </c>
      <c r="E19" s="83">
        <f>E17*I19</f>
        <v>61775.7271656051</v>
      </c>
      <c r="F19" s="83">
        <f t="shared" si="0"/>
        <v>63205.55866242038</v>
      </c>
      <c r="G19" s="84">
        <f t="shared" si="1"/>
        <v>1429.8314968152772</v>
      </c>
      <c r="H19" s="78">
        <f t="shared" si="2"/>
        <v>1.69</v>
      </c>
      <c r="I19" s="59">
        <f>H19/H17</f>
        <v>0.13455414012738853</v>
      </c>
    </row>
    <row r="20" spans="1:9" s="59" customFormat="1" ht="15">
      <c r="A20" s="81" t="s">
        <v>20</v>
      </c>
      <c r="B20" s="34" t="s">
        <v>21</v>
      </c>
      <c r="C20" s="82">
        <v>1.69</v>
      </c>
      <c r="D20" s="83">
        <f>D17*I20</f>
        <v>63205.55866242038</v>
      </c>
      <c r="E20" s="83">
        <f>E17*I20</f>
        <v>61775.7271656051</v>
      </c>
      <c r="F20" s="83">
        <f t="shared" si="0"/>
        <v>63205.55866242038</v>
      </c>
      <c r="G20" s="84">
        <f t="shared" si="1"/>
        <v>1429.8314968152772</v>
      </c>
      <c r="H20" s="78">
        <f t="shared" si="2"/>
        <v>1.69</v>
      </c>
      <c r="I20" s="59">
        <f>H20/H17</f>
        <v>0.13455414012738853</v>
      </c>
    </row>
    <row r="21" spans="1:9" s="59" customFormat="1" ht="15">
      <c r="A21" s="81" t="s">
        <v>22</v>
      </c>
      <c r="B21" s="34" t="s">
        <v>23</v>
      </c>
      <c r="C21" s="82">
        <v>3.04</v>
      </c>
      <c r="D21" s="83">
        <f>D17*I21</f>
        <v>113695.20611464969</v>
      </c>
      <c r="E21" s="83">
        <f>E17*I21</f>
        <v>111123.20152866244</v>
      </c>
      <c r="F21" s="83">
        <f t="shared" si="0"/>
        <v>113695.20611464969</v>
      </c>
      <c r="G21" s="84">
        <f t="shared" si="1"/>
        <v>2572.004585987248</v>
      </c>
      <c r="H21" s="78">
        <f t="shared" si="2"/>
        <v>3.04</v>
      </c>
      <c r="I21" s="59">
        <f>H21/H17</f>
        <v>0.24203821656050958</v>
      </c>
    </row>
    <row r="22" spans="1:10" s="59" customFormat="1" ht="15">
      <c r="A22" s="81" t="s">
        <v>24</v>
      </c>
      <c r="B22" s="34" t="s">
        <v>498</v>
      </c>
      <c r="C22" s="82">
        <v>2.68</v>
      </c>
      <c r="D22" s="83">
        <f>I22*D17</f>
        <v>100231.30012738855</v>
      </c>
      <c r="E22" s="83">
        <f>I22*E17</f>
        <v>97963.87503184716</v>
      </c>
      <c r="F22" s="83">
        <f>D22</f>
        <v>100231.30012738855</v>
      </c>
      <c r="G22" s="84">
        <f t="shared" si="1"/>
        <v>2267.425095541388</v>
      </c>
      <c r="H22" s="78">
        <f t="shared" si="2"/>
        <v>2.68</v>
      </c>
      <c r="I22" s="59">
        <f>H22/H17</f>
        <v>0.21337579617834398</v>
      </c>
      <c r="J22" s="59">
        <f>(76*110)*12</f>
        <v>100320</v>
      </c>
    </row>
    <row r="23" spans="1:11" s="89" customFormat="1" ht="14.25">
      <c r="A23" s="86" t="s">
        <v>25</v>
      </c>
      <c r="B23" s="86" t="s">
        <v>209</v>
      </c>
      <c r="C23" s="46">
        <v>0</v>
      </c>
      <c r="D23" s="87">
        <v>0</v>
      </c>
      <c r="E23" s="87">
        <v>0</v>
      </c>
      <c r="F23" s="87">
        <v>0</v>
      </c>
      <c r="G23" s="77">
        <f aca="true" t="shared" si="3" ref="G23:G32">D23-E23</f>
        <v>0</v>
      </c>
      <c r="H23" s="88"/>
      <c r="I23" s="88"/>
      <c r="J23" s="88"/>
      <c r="K23" s="88"/>
    </row>
    <row r="24" spans="1:11" s="89" customFormat="1" ht="14.25">
      <c r="A24" s="86" t="s">
        <v>27</v>
      </c>
      <c r="B24" s="86" t="s">
        <v>193</v>
      </c>
      <c r="C24" s="46">
        <v>0</v>
      </c>
      <c r="D24" s="87">
        <v>0</v>
      </c>
      <c r="E24" s="87">
        <v>0</v>
      </c>
      <c r="F24" s="87">
        <f t="shared" si="0"/>
        <v>0</v>
      </c>
      <c r="G24" s="77">
        <f t="shared" si="3"/>
        <v>0</v>
      </c>
      <c r="H24" s="88"/>
      <c r="I24" s="88"/>
      <c r="J24" s="88"/>
      <c r="K24" s="88"/>
    </row>
    <row r="25" spans="1:11" s="89" customFormat="1" ht="14.25">
      <c r="A25" s="86" t="s">
        <v>29</v>
      </c>
      <c r="B25" s="86" t="s">
        <v>30</v>
      </c>
      <c r="C25" s="46">
        <v>0</v>
      </c>
      <c r="D25" s="87">
        <v>0</v>
      </c>
      <c r="E25" s="87">
        <v>0</v>
      </c>
      <c r="F25" s="87">
        <f t="shared" si="0"/>
        <v>0</v>
      </c>
      <c r="G25" s="77">
        <f t="shared" si="3"/>
        <v>0</v>
      </c>
      <c r="H25" s="88"/>
      <c r="I25" s="88"/>
      <c r="J25" s="88"/>
      <c r="K25" s="88"/>
    </row>
    <row r="26" spans="1:11" s="89" customFormat="1" ht="14.25">
      <c r="A26" s="86" t="s">
        <v>31</v>
      </c>
      <c r="B26" s="86" t="s">
        <v>116</v>
      </c>
      <c r="C26" s="95">
        <v>3</v>
      </c>
      <c r="D26" s="87">
        <v>112172.4</v>
      </c>
      <c r="E26" s="87">
        <v>110058.22</v>
      </c>
      <c r="F26" s="87">
        <f>F40</f>
        <v>12300.5822</v>
      </c>
      <c r="G26" s="77">
        <f t="shared" si="3"/>
        <v>2114.179999999993</v>
      </c>
      <c r="H26" s="88"/>
      <c r="I26" s="88"/>
      <c r="J26" s="88"/>
      <c r="K26" s="88"/>
    </row>
    <row r="27" spans="1:11" ht="14.25">
      <c r="A27" s="41" t="s">
        <v>33</v>
      </c>
      <c r="B27" s="41" t="s">
        <v>161</v>
      </c>
      <c r="C27" s="97">
        <v>0</v>
      </c>
      <c r="D27" s="77">
        <v>0</v>
      </c>
      <c r="E27" s="77">
        <v>0</v>
      </c>
      <c r="F27" s="87">
        <f>D27</f>
        <v>0</v>
      </c>
      <c r="G27" s="77">
        <f t="shared" si="3"/>
        <v>0</v>
      </c>
      <c r="H27" s="98"/>
      <c r="I27" s="98"/>
      <c r="J27" s="98"/>
      <c r="K27" s="98"/>
    </row>
    <row r="28" spans="1:11" ht="14.25">
      <c r="A28" s="41" t="s">
        <v>35</v>
      </c>
      <c r="B28" s="41" t="s">
        <v>36</v>
      </c>
      <c r="C28" s="97"/>
      <c r="D28" s="77">
        <f>SUM(D29:D32)</f>
        <v>1803327.63</v>
      </c>
      <c r="E28" s="77">
        <f>SUM(E29:E32)</f>
        <v>1789830.98</v>
      </c>
      <c r="F28" s="77">
        <f>SUM(F29:F32)</f>
        <v>1803327.63</v>
      </c>
      <c r="G28" s="77">
        <f t="shared" si="3"/>
        <v>13496.649999999907</v>
      </c>
      <c r="H28" s="98"/>
      <c r="I28" s="98"/>
      <c r="J28" s="98"/>
      <c r="K28" s="98"/>
    </row>
    <row r="29" spans="1:7" ht="15">
      <c r="A29" s="34" t="s">
        <v>37</v>
      </c>
      <c r="B29" s="34" t="s">
        <v>165</v>
      </c>
      <c r="C29" s="293">
        <v>6</v>
      </c>
      <c r="D29" s="84">
        <v>9430.9</v>
      </c>
      <c r="E29" s="84">
        <v>9277.2</v>
      </c>
      <c r="F29" s="84">
        <f>D29</f>
        <v>9430.9</v>
      </c>
      <c r="G29" s="84">
        <f t="shared" si="3"/>
        <v>153.6999999999989</v>
      </c>
    </row>
    <row r="30" spans="1:7" ht="15">
      <c r="A30" s="34" t="s">
        <v>39</v>
      </c>
      <c r="B30" s="34" t="s">
        <v>137</v>
      </c>
      <c r="C30" s="285">
        <v>57.08</v>
      </c>
      <c r="D30" s="84">
        <v>489202.5</v>
      </c>
      <c r="E30" s="84">
        <v>487624.82</v>
      </c>
      <c r="F30" s="84">
        <f>D30</f>
        <v>489202.5</v>
      </c>
      <c r="G30" s="84">
        <f t="shared" si="3"/>
        <v>1577.679999999993</v>
      </c>
    </row>
    <row r="31" spans="1:7" ht="15">
      <c r="A31" s="34" t="s">
        <v>42</v>
      </c>
      <c r="B31" s="34" t="s">
        <v>340</v>
      </c>
      <c r="C31" s="143">
        <v>0</v>
      </c>
      <c r="D31" s="210">
        <v>0</v>
      </c>
      <c r="E31" s="210">
        <v>0</v>
      </c>
      <c r="F31" s="84">
        <f>D31</f>
        <v>0</v>
      </c>
      <c r="G31" s="84">
        <f t="shared" si="3"/>
        <v>0</v>
      </c>
    </row>
    <row r="32" spans="1:7" ht="15">
      <c r="A32" s="34" t="s">
        <v>41</v>
      </c>
      <c r="B32" s="34" t="s">
        <v>43</v>
      </c>
      <c r="C32" s="285">
        <v>2638.8</v>
      </c>
      <c r="D32" s="84">
        <v>1304694.23</v>
      </c>
      <c r="E32" s="84">
        <v>1292928.96</v>
      </c>
      <c r="F32" s="84">
        <f>D32</f>
        <v>1304694.23</v>
      </c>
      <c r="G32" s="84">
        <f t="shared" si="3"/>
        <v>11765.270000000019</v>
      </c>
    </row>
    <row r="33" spans="1:9" s="102" customFormat="1" ht="7.5" customHeight="1" thickBot="1">
      <c r="A33" s="100"/>
      <c r="B33" s="100"/>
      <c r="C33" s="100"/>
      <c r="D33" s="101"/>
      <c r="E33" s="101"/>
      <c r="F33" s="101"/>
      <c r="G33" s="101"/>
      <c r="H33" s="101"/>
      <c r="I33" s="101"/>
    </row>
    <row r="34" spans="1:9" s="67" customFormat="1" ht="15.75" thickBot="1">
      <c r="A34" s="455" t="s">
        <v>333</v>
      </c>
      <c r="B34" s="456"/>
      <c r="C34" s="456"/>
      <c r="D34" s="65">
        <v>471672.05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372</v>
      </c>
      <c r="B36" s="64"/>
      <c r="C36" s="64"/>
      <c r="D36" s="69"/>
      <c r="E36" s="70"/>
      <c r="F36" s="70"/>
      <c r="G36" s="144">
        <f>G14+E26-F26</f>
        <v>177822.66729999997</v>
      </c>
      <c r="H36" s="62"/>
      <c r="I36" s="62"/>
    </row>
    <row r="37" spans="1:11" ht="31.5" customHeight="1">
      <c r="A37" s="444" t="s">
        <v>179</v>
      </c>
      <c r="B37" s="444"/>
      <c r="C37" s="444"/>
      <c r="D37" s="444"/>
      <c r="E37" s="444"/>
      <c r="F37" s="444"/>
      <c r="G37" s="444"/>
      <c r="H37" s="444"/>
      <c r="I37" s="444"/>
      <c r="J37" s="444"/>
      <c r="K37" s="444"/>
    </row>
    <row r="39" spans="1:12" s="74" customFormat="1" ht="37.5" customHeight="1">
      <c r="A39" s="105" t="s">
        <v>11</v>
      </c>
      <c r="B39" s="471" t="s">
        <v>45</v>
      </c>
      <c r="C39" s="484"/>
      <c r="D39" s="105" t="s">
        <v>163</v>
      </c>
      <c r="E39" s="105" t="s">
        <v>162</v>
      </c>
      <c r="F39" s="471" t="s">
        <v>46</v>
      </c>
      <c r="G39" s="484"/>
      <c r="H39" s="244"/>
      <c r="I39" s="245"/>
      <c r="L39" s="108"/>
    </row>
    <row r="40" spans="1:12" s="114" customFormat="1" ht="15" customHeight="1">
      <c r="A40" s="109" t="s">
        <v>47</v>
      </c>
      <c r="B40" s="473" t="s">
        <v>111</v>
      </c>
      <c r="C40" s="491"/>
      <c r="D40" s="110"/>
      <c r="E40" s="110"/>
      <c r="F40" s="496">
        <f>SUM(F41:G44)</f>
        <v>12300.5822</v>
      </c>
      <c r="G40" s="483"/>
      <c r="H40" s="246"/>
      <c r="I40" s="247"/>
      <c r="L40" s="115"/>
    </row>
    <row r="41" spans="1:12" ht="15">
      <c r="A41" s="34" t="s">
        <v>16</v>
      </c>
      <c r="B41" s="449" t="s">
        <v>814</v>
      </c>
      <c r="C41" s="451"/>
      <c r="D41" s="118" t="s">
        <v>391</v>
      </c>
      <c r="E41" s="118">
        <v>4</v>
      </c>
      <c r="F41" s="521">
        <v>11200</v>
      </c>
      <c r="G41" s="522"/>
      <c r="H41" s="248"/>
      <c r="I41" s="249"/>
      <c r="L41" s="119"/>
    </row>
    <row r="42" spans="1:12" ht="15">
      <c r="A42" s="34" t="s">
        <v>18</v>
      </c>
      <c r="B42" s="462"/>
      <c r="C42" s="498"/>
      <c r="D42" s="337"/>
      <c r="E42" s="337"/>
      <c r="F42" s="525"/>
      <c r="G42" s="526"/>
      <c r="H42" s="40"/>
      <c r="I42" s="40"/>
      <c r="L42" s="119"/>
    </row>
    <row r="43" spans="1:12" ht="15">
      <c r="A43" s="34" t="s">
        <v>20</v>
      </c>
      <c r="B43" s="449"/>
      <c r="C43" s="641"/>
      <c r="D43" s="118"/>
      <c r="E43" s="152"/>
      <c r="F43" s="495"/>
      <c r="G43" s="495"/>
      <c r="H43" s="40"/>
      <c r="I43" s="40"/>
      <c r="L43" s="119"/>
    </row>
    <row r="44" spans="1:11" s="67" customFormat="1" ht="15">
      <c r="A44" s="34" t="s">
        <v>22</v>
      </c>
      <c r="B44" s="511" t="s">
        <v>188</v>
      </c>
      <c r="C44" s="512"/>
      <c r="D44" s="123"/>
      <c r="E44" s="123"/>
      <c r="F44" s="495">
        <f>E26*1%</f>
        <v>1100.5822</v>
      </c>
      <c r="G44" s="495"/>
      <c r="H44" s="59"/>
      <c r="I44" s="59"/>
      <c r="J44" s="59"/>
      <c r="K44" s="59"/>
    </row>
    <row r="45" s="59" customFormat="1" ht="9" customHeight="1"/>
    <row r="46" spans="1:11" s="59" customFormat="1" ht="15">
      <c r="A46" s="67" t="s">
        <v>55</v>
      </c>
      <c r="B46" s="67"/>
      <c r="C46" s="125" t="s">
        <v>49</v>
      </c>
      <c r="D46" s="67"/>
      <c r="E46" s="67"/>
      <c r="F46" s="67" t="s">
        <v>90</v>
      </c>
      <c r="G46" s="67"/>
      <c r="H46" s="67"/>
      <c r="I46" s="67"/>
      <c r="J46" s="67"/>
      <c r="K46" s="67"/>
    </row>
    <row r="47" spans="1:7" s="59" customFormat="1" ht="15">
      <c r="A47" s="67"/>
      <c r="B47" s="67"/>
      <c r="C47" s="125"/>
      <c r="D47" s="67"/>
      <c r="E47" s="67"/>
      <c r="F47" s="126" t="s">
        <v>545</v>
      </c>
      <c r="G47" s="67"/>
    </row>
    <row r="48" spans="1:10" s="59" customFormat="1" ht="15">
      <c r="A48" s="67" t="s">
        <v>50</v>
      </c>
      <c r="B48" s="67"/>
      <c r="C48" s="125"/>
      <c r="D48" s="67"/>
      <c r="E48" s="67"/>
      <c r="F48" s="67"/>
      <c r="G48" s="67"/>
      <c r="H48" s="156"/>
      <c r="I48" s="156"/>
      <c r="J48" s="156"/>
    </row>
    <row r="49" spans="1:11" ht="15">
      <c r="A49" s="67"/>
      <c r="B49" s="67"/>
      <c r="C49" s="127" t="s">
        <v>51</v>
      </c>
      <c r="D49" s="67"/>
      <c r="E49" s="128"/>
      <c r="F49" s="128"/>
      <c r="G49" s="128"/>
      <c r="H49" s="59"/>
      <c r="I49" s="59"/>
      <c r="J49" s="59"/>
      <c r="K49" s="59"/>
    </row>
    <row r="50" spans="1:11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</row>
  </sheetData>
  <sheetProtection/>
  <mergeCells count="21">
    <mergeCell ref="B44:C44"/>
    <mergeCell ref="F44:G44"/>
    <mergeCell ref="B40:C40"/>
    <mergeCell ref="F40:G40"/>
    <mergeCell ref="B41:C41"/>
    <mergeCell ref="B43:C43"/>
    <mergeCell ref="F43:G43"/>
    <mergeCell ref="A1:K1"/>
    <mergeCell ref="A2:K2"/>
    <mergeCell ref="A3:K3"/>
    <mergeCell ref="A5:K5"/>
    <mergeCell ref="A10:K10"/>
    <mergeCell ref="F42:G42"/>
    <mergeCell ref="A12:K12"/>
    <mergeCell ref="A34:C34"/>
    <mergeCell ref="A37:K37"/>
    <mergeCell ref="F39:G39"/>
    <mergeCell ref="B39:C39"/>
    <mergeCell ref="F41:G41"/>
    <mergeCell ref="A11:K11"/>
    <mergeCell ref="B42:C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7030A0"/>
  </sheetPr>
  <dimension ref="A1:N54"/>
  <sheetViews>
    <sheetView zoomScalePageLayoutView="0" workbookViewId="0" topLeftCell="A35">
      <selection activeCell="F48" sqref="F48:G48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8" s="59" customFormat="1" ht="16.5" customHeight="1">
      <c r="A7" s="59" t="s">
        <v>2</v>
      </c>
      <c r="F7" s="60" t="s">
        <v>213</v>
      </c>
      <c r="H7" s="60"/>
    </row>
    <row r="8" spans="1:10" s="59" customFormat="1" ht="12.75">
      <c r="A8" s="59" t="s">
        <v>3</v>
      </c>
      <c r="F8" s="301" t="s">
        <v>477</v>
      </c>
      <c r="H8" s="61">
        <f>5087.1-0.8</f>
        <v>5086.3</v>
      </c>
      <c r="I8" s="302">
        <f>42.2+70.5+62.9+76.9+44.5+66.1+42.9+62.3</f>
        <v>468.3</v>
      </c>
      <c r="J8" s="61">
        <f>H8+I8</f>
        <v>5554.6</v>
      </c>
    </row>
    <row r="9" spans="2:10" s="59" customFormat="1" ht="12.75">
      <c r="B9" s="59" t="s">
        <v>507</v>
      </c>
      <c r="F9" s="301" t="s">
        <v>737</v>
      </c>
      <c r="H9" s="61"/>
      <c r="I9" s="302"/>
      <c r="J9" s="61"/>
    </row>
    <row r="10" spans="1:11" s="59" customFormat="1" ht="12.7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11" s="59" customFormat="1" ht="13.5" thickBot="1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</row>
    <row r="13" spans="1:9" s="67" customFormat="1" ht="25.5" customHeight="1" thickBot="1">
      <c r="A13" s="63" t="s">
        <v>470</v>
      </c>
      <c r="B13" s="64"/>
      <c r="C13" s="64"/>
      <c r="D13" s="69"/>
      <c r="E13" s="70"/>
      <c r="F13" s="70"/>
      <c r="G13" s="261">
        <f>'[2]Чижевского 23'!$G$36</f>
        <v>598276.99</v>
      </c>
      <c r="H13" s="62"/>
      <c r="I13" s="62"/>
    </row>
    <row r="14" spans="1:9" s="67" customFormat="1" ht="25.5" customHeight="1" thickBot="1">
      <c r="A14" s="63" t="s">
        <v>431</v>
      </c>
      <c r="B14" s="64"/>
      <c r="C14" s="64"/>
      <c r="D14" s="69"/>
      <c r="E14" s="70"/>
      <c r="F14" s="70"/>
      <c r="G14" s="65">
        <f>'[2]Чижевского 23'!$G$35</f>
        <v>424165.09309999994</v>
      </c>
      <c r="H14" s="62"/>
      <c r="I14" s="62"/>
    </row>
    <row r="15" s="59" customFormat="1" ht="6.75" customHeight="1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</row>
    <row r="17" spans="1:14" s="59" customFormat="1" ht="14.25">
      <c r="A17" s="75" t="s">
        <v>14</v>
      </c>
      <c r="B17" s="41" t="s">
        <v>15</v>
      </c>
      <c r="C17" s="97">
        <f>C18+C19+C20+C21</f>
        <v>10.34</v>
      </c>
      <c r="D17" s="76">
        <v>689598.58</v>
      </c>
      <c r="E17" s="76">
        <v>652056.25</v>
      </c>
      <c r="F17" s="76">
        <f aca="true" t="shared" si="0" ref="F17:F23">D17</f>
        <v>689598.58</v>
      </c>
      <c r="G17" s="77">
        <f>D17-E17</f>
        <v>37542.32999999996</v>
      </c>
      <c r="H17" s="78">
        <f>C17</f>
        <v>10.34</v>
      </c>
      <c r="I17" s="79"/>
      <c r="J17" s="79"/>
      <c r="K17" s="79"/>
      <c r="M17" s="78"/>
      <c r="N17" s="80"/>
    </row>
    <row r="18" spans="1:9" s="59" customFormat="1" ht="15">
      <c r="A18" s="81" t="s">
        <v>16</v>
      </c>
      <c r="B18" s="34" t="s">
        <v>17</v>
      </c>
      <c r="C18" s="82">
        <v>3.46</v>
      </c>
      <c r="D18" s="83">
        <f>D17*I18</f>
        <v>230755.42425531914</v>
      </c>
      <c r="E18" s="83">
        <f>E17*I18</f>
        <v>218192.90377176018</v>
      </c>
      <c r="F18" s="83">
        <f t="shared" si="0"/>
        <v>230755.42425531914</v>
      </c>
      <c r="G18" s="84">
        <f>D18-E18</f>
        <v>12562.520483558968</v>
      </c>
      <c r="H18" s="78">
        <f>C18</f>
        <v>3.46</v>
      </c>
      <c r="I18" s="59">
        <f>H18/H17</f>
        <v>0.33462282398452614</v>
      </c>
    </row>
    <row r="19" spans="1:9" s="59" customFormat="1" ht="15">
      <c r="A19" s="81" t="s">
        <v>18</v>
      </c>
      <c r="B19" s="34" t="s">
        <v>19</v>
      </c>
      <c r="C19" s="82">
        <v>1.69</v>
      </c>
      <c r="D19" s="83">
        <f>D17*I19</f>
        <v>112710.01936170211</v>
      </c>
      <c r="E19" s="83">
        <f>E17*I19</f>
        <v>106573.9905705996</v>
      </c>
      <c r="F19" s="83">
        <f t="shared" si="0"/>
        <v>112710.01936170211</v>
      </c>
      <c r="G19" s="84">
        <f>D19-E19</f>
        <v>6136.028791102508</v>
      </c>
      <c r="H19" s="78">
        <f>C19</f>
        <v>1.69</v>
      </c>
      <c r="I19" s="59">
        <f>H19/H17</f>
        <v>0.1634429400386847</v>
      </c>
    </row>
    <row r="20" spans="1:9" s="59" customFormat="1" ht="15">
      <c r="A20" s="81" t="s">
        <v>20</v>
      </c>
      <c r="B20" s="34" t="s">
        <v>21</v>
      </c>
      <c r="C20" s="82">
        <v>2.15</v>
      </c>
      <c r="D20" s="83">
        <f>D17*I20</f>
        <v>143388.48617021277</v>
      </c>
      <c r="E20" s="83">
        <f>E17*I20</f>
        <v>135582.29569632496</v>
      </c>
      <c r="F20" s="83">
        <f t="shared" si="0"/>
        <v>143388.48617021277</v>
      </c>
      <c r="G20" s="84">
        <f>D20-E20</f>
        <v>7806.1904738878075</v>
      </c>
      <c r="H20" s="78">
        <f>C20</f>
        <v>2.15</v>
      </c>
      <c r="I20" s="59">
        <f>H20/H17</f>
        <v>0.2079303675048356</v>
      </c>
    </row>
    <row r="21" spans="1:9" s="59" customFormat="1" ht="15">
      <c r="A21" s="81" t="s">
        <v>22</v>
      </c>
      <c r="B21" s="34" t="s">
        <v>23</v>
      </c>
      <c r="C21" s="82">
        <v>3.04</v>
      </c>
      <c r="D21" s="83">
        <f>D17*I21</f>
        <v>202744.65021276596</v>
      </c>
      <c r="E21" s="83">
        <f>E17*I21</f>
        <v>191707.05996131527</v>
      </c>
      <c r="F21" s="83">
        <f t="shared" si="0"/>
        <v>202744.65021276596</v>
      </c>
      <c r="G21" s="84">
        <f>D21-E21</f>
        <v>11037.590251450689</v>
      </c>
      <c r="H21" s="78">
        <f>C21</f>
        <v>3.04</v>
      </c>
      <c r="I21" s="59">
        <f>H21/H17</f>
        <v>0.2940038684719536</v>
      </c>
    </row>
    <row r="22" spans="1:11" s="89" customFormat="1" ht="14.25">
      <c r="A22" s="86" t="s">
        <v>25</v>
      </c>
      <c r="B22" s="86" t="s">
        <v>209</v>
      </c>
      <c r="C22" s="46">
        <v>0</v>
      </c>
      <c r="D22" s="87">
        <v>0</v>
      </c>
      <c r="E22" s="87">
        <v>0</v>
      </c>
      <c r="F22" s="87">
        <v>0</v>
      </c>
      <c r="G22" s="77">
        <f aca="true" t="shared" si="1" ref="G22:G32">D22-E22</f>
        <v>0</v>
      </c>
      <c r="H22" s="88"/>
      <c r="I22" s="88"/>
      <c r="J22" s="88"/>
      <c r="K22" s="88"/>
    </row>
    <row r="23" spans="1:11" s="89" customFormat="1" ht="14.25">
      <c r="A23" s="86" t="s">
        <v>27</v>
      </c>
      <c r="B23" s="86" t="s">
        <v>193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29</v>
      </c>
      <c r="B24" s="86" t="s">
        <v>293</v>
      </c>
      <c r="C24" s="46">
        <v>3</v>
      </c>
      <c r="D24" s="87">
        <v>199989.6</v>
      </c>
      <c r="E24" s="87">
        <v>189564.89</v>
      </c>
      <c r="F24" s="87">
        <v>0</v>
      </c>
      <c r="G24" s="77">
        <f t="shared" si="1"/>
        <v>10424.709999999992</v>
      </c>
      <c r="H24" s="88"/>
      <c r="I24" s="88"/>
      <c r="J24" s="88"/>
      <c r="K24" s="88"/>
    </row>
    <row r="25" spans="1:11" s="89" customFormat="1" ht="14.25">
      <c r="A25" s="86" t="s">
        <v>31</v>
      </c>
      <c r="B25" s="86" t="s">
        <v>380</v>
      </c>
      <c r="C25" s="46" t="s">
        <v>798</v>
      </c>
      <c r="D25" s="87">
        <v>116870</v>
      </c>
      <c r="E25" s="87">
        <v>108154.55</v>
      </c>
      <c r="F25" s="87">
        <f>D25</f>
        <v>116870</v>
      </c>
      <c r="G25" s="77">
        <f t="shared" si="1"/>
        <v>8715.449999999997</v>
      </c>
      <c r="H25" s="88">
        <f>130*115*12</f>
        <v>179400</v>
      </c>
      <c r="I25" s="88"/>
      <c r="J25" s="88"/>
      <c r="K25" s="88"/>
    </row>
    <row r="26" spans="1:11" s="89" customFormat="1" ht="14.25">
      <c r="A26" s="86" t="s">
        <v>31</v>
      </c>
      <c r="B26" s="86" t="s">
        <v>116</v>
      </c>
      <c r="C26" s="95">
        <v>3</v>
      </c>
      <c r="D26" s="87">
        <v>199989.6</v>
      </c>
      <c r="E26" s="87">
        <v>189564.89</v>
      </c>
      <c r="F26" s="87">
        <f>F41</f>
        <v>677468.2589000001</v>
      </c>
      <c r="G26" s="77">
        <f>D26-E26</f>
        <v>10424.709999999992</v>
      </c>
      <c r="H26" s="88"/>
      <c r="I26" s="88"/>
      <c r="J26" s="88"/>
      <c r="K26" s="88"/>
    </row>
    <row r="27" spans="1:11" ht="14.25">
      <c r="A27" s="41" t="s">
        <v>33</v>
      </c>
      <c r="B27" s="41" t="s">
        <v>161</v>
      </c>
      <c r="C27" s="97">
        <v>12.54</v>
      </c>
      <c r="D27" s="77">
        <v>0</v>
      </c>
      <c r="E27" s="77">
        <v>0</v>
      </c>
      <c r="F27" s="87">
        <v>0</v>
      </c>
      <c r="G27" s="77">
        <f t="shared" si="1"/>
        <v>0</v>
      </c>
      <c r="H27" s="98"/>
      <c r="I27" s="98"/>
      <c r="J27" s="98"/>
      <c r="K27" s="98"/>
    </row>
    <row r="28" spans="1:11" ht="14.25">
      <c r="A28" s="41" t="s">
        <v>35</v>
      </c>
      <c r="B28" s="41" t="s">
        <v>36</v>
      </c>
      <c r="C28" s="97"/>
      <c r="D28" s="77">
        <f>SUM(D29:D32)</f>
        <v>1478824.85</v>
      </c>
      <c r="E28" s="77">
        <f>SUM(E29:E32)</f>
        <v>1436399.93</v>
      </c>
      <c r="F28" s="77">
        <f>SUM(F29:F32)</f>
        <v>1478824.85</v>
      </c>
      <c r="G28" s="77">
        <f t="shared" si="1"/>
        <v>42424.92000000016</v>
      </c>
      <c r="H28" s="98"/>
      <c r="I28" s="98"/>
      <c r="J28" s="98"/>
      <c r="K28" s="98"/>
    </row>
    <row r="29" spans="1:7" ht="15">
      <c r="A29" s="34" t="s">
        <v>37</v>
      </c>
      <c r="B29" s="34" t="s">
        <v>165</v>
      </c>
      <c r="C29" s="285">
        <v>6</v>
      </c>
      <c r="D29" s="84">
        <v>55622.26</v>
      </c>
      <c r="E29" s="84">
        <v>52193.65</v>
      </c>
      <c r="F29" s="84">
        <f>D29</f>
        <v>55622.26</v>
      </c>
      <c r="G29" s="84">
        <f t="shared" si="1"/>
        <v>3428.6100000000006</v>
      </c>
    </row>
    <row r="30" spans="1:7" ht="15">
      <c r="A30" s="34" t="s">
        <v>39</v>
      </c>
      <c r="B30" s="34" t="s">
        <v>137</v>
      </c>
      <c r="C30" s="285">
        <v>57.08</v>
      </c>
      <c r="D30" s="84">
        <v>512517.28</v>
      </c>
      <c r="E30" s="84">
        <v>505431.3</v>
      </c>
      <c r="F30" s="84">
        <f>D30</f>
        <v>512517.28</v>
      </c>
      <c r="G30" s="84">
        <f t="shared" si="1"/>
        <v>7085.98000000004</v>
      </c>
    </row>
    <row r="31" spans="1:7" ht="15">
      <c r="A31" s="34" t="s">
        <v>42</v>
      </c>
      <c r="B31" s="34" t="s">
        <v>340</v>
      </c>
      <c r="C31" s="286">
        <v>211.65</v>
      </c>
      <c r="D31" s="84">
        <v>910685.31</v>
      </c>
      <c r="E31" s="84">
        <v>878774.98</v>
      </c>
      <c r="F31" s="84">
        <f>D31</f>
        <v>910685.31</v>
      </c>
      <c r="G31" s="84">
        <f t="shared" si="1"/>
        <v>31910.330000000075</v>
      </c>
    </row>
    <row r="32" spans="1:7" ht="15">
      <c r="A32" s="34" t="s">
        <v>41</v>
      </c>
      <c r="B32" s="34" t="s">
        <v>43</v>
      </c>
      <c r="C32" s="143">
        <v>0</v>
      </c>
      <c r="D32" s="84">
        <v>0</v>
      </c>
      <c r="E32" s="84">
        <v>0</v>
      </c>
      <c r="F32" s="84">
        <f>D32</f>
        <v>0</v>
      </c>
      <c r="G32" s="84">
        <f t="shared" si="1"/>
        <v>0</v>
      </c>
    </row>
    <row r="33" spans="1:9" s="102" customFormat="1" ht="21.75" customHeight="1" thickBot="1">
      <c r="A33" s="446" t="s">
        <v>294</v>
      </c>
      <c r="B33" s="447"/>
      <c r="C33" s="447"/>
      <c r="D33" s="448"/>
      <c r="E33" s="448"/>
      <c r="F33" s="448"/>
      <c r="G33" s="101"/>
      <c r="H33" s="101"/>
      <c r="I33" s="101"/>
    </row>
    <row r="34" spans="1:9" s="67" customFormat="1" ht="15.75" thickBot="1">
      <c r="A34" s="455" t="s">
        <v>413</v>
      </c>
      <c r="B34" s="456"/>
      <c r="C34" s="456"/>
      <c r="D34" s="65">
        <v>600679.07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415</v>
      </c>
      <c r="B36" s="64"/>
      <c r="C36" s="64"/>
      <c r="D36" s="69"/>
      <c r="E36" s="70"/>
      <c r="F36" s="70"/>
      <c r="G36" s="144">
        <f>G14+E26-F26</f>
        <v>-63738.27580000018</v>
      </c>
      <c r="H36" s="62"/>
      <c r="I36" s="62"/>
    </row>
    <row r="37" spans="1:9" s="67" customFormat="1" ht="15.75" thickBot="1">
      <c r="A37" s="63" t="s">
        <v>485</v>
      </c>
      <c r="B37" s="64"/>
      <c r="C37" s="64"/>
      <c r="D37" s="69"/>
      <c r="E37" s="70"/>
      <c r="F37" s="70"/>
      <c r="G37" s="144">
        <f>G13+E24-F24</f>
        <v>787841.88</v>
      </c>
      <c r="H37" s="62"/>
      <c r="I37" s="62"/>
    </row>
    <row r="38" spans="1:11" ht="31.5" customHeight="1">
      <c r="A38" s="444" t="s">
        <v>179</v>
      </c>
      <c r="B38" s="444"/>
      <c r="C38" s="444"/>
      <c r="D38" s="444"/>
      <c r="E38" s="444"/>
      <c r="F38" s="444"/>
      <c r="G38" s="444"/>
      <c r="H38" s="444"/>
      <c r="I38" s="444"/>
      <c r="J38" s="444"/>
      <c r="K38" s="444"/>
    </row>
    <row r="40" spans="1:12" s="74" customFormat="1" ht="37.5" customHeight="1">
      <c r="A40" s="105" t="s">
        <v>11</v>
      </c>
      <c r="B40" s="471" t="s">
        <v>45</v>
      </c>
      <c r="C40" s="484"/>
      <c r="D40" s="105" t="s">
        <v>163</v>
      </c>
      <c r="E40" s="105" t="s">
        <v>162</v>
      </c>
      <c r="F40" s="471" t="s">
        <v>46</v>
      </c>
      <c r="G40" s="484"/>
      <c r="H40" s="244"/>
      <c r="I40" s="245"/>
      <c r="L40" s="108"/>
    </row>
    <row r="41" spans="1:12" s="114" customFormat="1" ht="15" customHeight="1">
      <c r="A41" s="109" t="s">
        <v>47</v>
      </c>
      <c r="B41" s="473" t="s">
        <v>111</v>
      </c>
      <c r="C41" s="491"/>
      <c r="D41" s="110"/>
      <c r="E41" s="110"/>
      <c r="F41" s="496">
        <f>SUM(F42:G48)</f>
        <v>677468.2589000001</v>
      </c>
      <c r="G41" s="483"/>
      <c r="H41" s="246"/>
      <c r="I41" s="247"/>
      <c r="L41" s="115"/>
    </row>
    <row r="42" spans="1:12" ht="15">
      <c r="A42" s="34" t="s">
        <v>16</v>
      </c>
      <c r="B42" s="462" t="s">
        <v>738</v>
      </c>
      <c r="C42" s="489"/>
      <c r="D42" s="403" t="s">
        <v>542</v>
      </c>
      <c r="E42" s="405">
        <v>0.073</v>
      </c>
      <c r="F42" s="525">
        <v>282842.09</v>
      </c>
      <c r="G42" s="526"/>
      <c r="H42" s="248"/>
      <c r="I42" s="249"/>
      <c r="L42" s="119"/>
    </row>
    <row r="43" spans="1:12" ht="15">
      <c r="A43" s="34" t="s">
        <v>18</v>
      </c>
      <c r="B43" s="462" t="s">
        <v>739</v>
      </c>
      <c r="C43" s="489"/>
      <c r="D43" s="403" t="s">
        <v>166</v>
      </c>
      <c r="E43" s="403">
        <v>1.49</v>
      </c>
      <c r="F43" s="525">
        <v>49756.13</v>
      </c>
      <c r="G43" s="526"/>
      <c r="H43" s="40"/>
      <c r="I43" s="40"/>
      <c r="L43" s="119"/>
    </row>
    <row r="44" spans="1:12" ht="15">
      <c r="A44" s="34" t="s">
        <v>20</v>
      </c>
      <c r="B44" s="462" t="s">
        <v>740</v>
      </c>
      <c r="C44" s="489"/>
      <c r="D44" s="403" t="s">
        <v>217</v>
      </c>
      <c r="E44" s="403">
        <v>0.01</v>
      </c>
      <c r="F44" s="525">
        <v>4956.77</v>
      </c>
      <c r="G44" s="526"/>
      <c r="H44" s="40"/>
      <c r="I44" s="40"/>
      <c r="L44" s="119"/>
    </row>
    <row r="45" spans="1:12" ht="15">
      <c r="A45" s="34" t="s">
        <v>22</v>
      </c>
      <c r="B45" s="462" t="s">
        <v>544</v>
      </c>
      <c r="C45" s="489"/>
      <c r="D45" s="403" t="s">
        <v>741</v>
      </c>
      <c r="E45" s="403">
        <v>0.01</v>
      </c>
      <c r="F45" s="525">
        <v>1117.62</v>
      </c>
      <c r="G45" s="526"/>
      <c r="H45" s="40"/>
      <c r="I45" s="40"/>
      <c r="L45" s="119"/>
    </row>
    <row r="46" spans="1:12" ht="15">
      <c r="A46" s="34" t="s">
        <v>24</v>
      </c>
      <c r="B46" s="462" t="s">
        <v>742</v>
      </c>
      <c r="C46" s="489"/>
      <c r="D46" s="403"/>
      <c r="E46" s="403"/>
      <c r="F46" s="525">
        <v>322900</v>
      </c>
      <c r="G46" s="526"/>
      <c r="H46" s="40"/>
      <c r="I46" s="40"/>
      <c r="L46" s="119"/>
    </row>
    <row r="47" spans="1:12" ht="15">
      <c r="A47" s="34" t="s">
        <v>103</v>
      </c>
      <c r="B47" s="449" t="s">
        <v>814</v>
      </c>
      <c r="C47" s="451"/>
      <c r="D47" s="118" t="s">
        <v>391</v>
      </c>
      <c r="E47" s="118">
        <v>5</v>
      </c>
      <c r="F47" s="521">
        <v>14000</v>
      </c>
      <c r="G47" s="522"/>
      <c r="H47" s="40"/>
      <c r="I47" s="40"/>
      <c r="L47" s="119"/>
    </row>
    <row r="48" spans="1:11" s="67" customFormat="1" ht="15">
      <c r="A48" s="34" t="s">
        <v>104</v>
      </c>
      <c r="B48" s="511" t="s">
        <v>188</v>
      </c>
      <c r="C48" s="512"/>
      <c r="D48" s="123"/>
      <c r="E48" s="123"/>
      <c r="F48" s="495">
        <f>E26*1%</f>
        <v>1895.6489000000001</v>
      </c>
      <c r="G48" s="495"/>
      <c r="H48" s="59"/>
      <c r="I48" s="59"/>
      <c r="J48" s="59"/>
      <c r="K48" s="59"/>
    </row>
    <row r="49" s="59" customFormat="1" ht="9" customHeight="1"/>
    <row r="50" spans="1:11" s="59" customFormat="1" ht="15">
      <c r="A50" s="67" t="s">
        <v>55</v>
      </c>
      <c r="B50" s="67"/>
      <c r="C50" s="125" t="s">
        <v>49</v>
      </c>
      <c r="D50" s="67"/>
      <c r="E50" s="67"/>
      <c r="F50" s="67" t="s">
        <v>90</v>
      </c>
      <c r="G50" s="67"/>
      <c r="H50" s="67"/>
      <c r="I50" s="67"/>
      <c r="J50" s="67"/>
      <c r="K50" s="67"/>
    </row>
    <row r="51" spans="1:7" s="59" customFormat="1" ht="15">
      <c r="A51" s="67"/>
      <c r="B51" s="67"/>
      <c r="C51" s="125"/>
      <c r="D51" s="67"/>
      <c r="E51" s="67"/>
      <c r="F51" s="126" t="s">
        <v>545</v>
      </c>
      <c r="G51" s="67"/>
    </row>
    <row r="52" spans="1:10" s="59" customFormat="1" ht="15">
      <c r="A52" s="67" t="s">
        <v>50</v>
      </c>
      <c r="B52" s="67"/>
      <c r="C52" s="125"/>
      <c r="D52" s="67"/>
      <c r="E52" s="67"/>
      <c r="F52" s="67"/>
      <c r="G52" s="67"/>
      <c r="H52" s="156"/>
      <c r="I52" s="156"/>
      <c r="J52" s="156"/>
    </row>
    <row r="53" spans="1:11" ht="15">
      <c r="A53" s="67"/>
      <c r="B53" s="67"/>
      <c r="C53" s="127" t="s">
        <v>51</v>
      </c>
      <c r="D53" s="67"/>
      <c r="E53" s="128"/>
      <c r="F53" s="128"/>
      <c r="G53" s="128"/>
      <c r="H53" s="59"/>
      <c r="I53" s="59"/>
      <c r="J53" s="59"/>
      <c r="K53" s="59"/>
    </row>
    <row r="54" spans="1:11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</row>
  </sheetData>
  <sheetProtection/>
  <mergeCells count="28">
    <mergeCell ref="B47:C47"/>
    <mergeCell ref="F47:G47"/>
    <mergeCell ref="B46:C46"/>
    <mergeCell ref="F46:G46"/>
    <mergeCell ref="B48:C48"/>
    <mergeCell ref="F48:G48"/>
    <mergeCell ref="B41:C41"/>
    <mergeCell ref="F41:G41"/>
    <mergeCell ref="B42:C42"/>
    <mergeCell ref="F45:G45"/>
    <mergeCell ref="B45:C45"/>
    <mergeCell ref="F42:G42"/>
    <mergeCell ref="B43:C43"/>
    <mergeCell ref="B44:C44"/>
    <mergeCell ref="A12:K12"/>
    <mergeCell ref="A34:C34"/>
    <mergeCell ref="A33:F33"/>
    <mergeCell ref="F43:G43"/>
    <mergeCell ref="F44:G44"/>
    <mergeCell ref="A38:K38"/>
    <mergeCell ref="B40:C40"/>
    <mergeCell ref="F40:G40"/>
    <mergeCell ref="A1:K1"/>
    <mergeCell ref="A2:K2"/>
    <mergeCell ref="A3:K3"/>
    <mergeCell ref="A5:K5"/>
    <mergeCell ref="A10:K10"/>
    <mergeCell ref="A11:K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7030A0"/>
  </sheetPr>
  <dimension ref="A1:N51"/>
  <sheetViews>
    <sheetView zoomScalePageLayoutView="0" workbookViewId="0" topLeftCell="A34">
      <selection activeCell="F45" sqref="F45:G45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8" s="59" customFormat="1" ht="16.5" customHeight="1">
      <c r="A7" s="59" t="s">
        <v>2</v>
      </c>
      <c r="F7" s="60" t="s">
        <v>210</v>
      </c>
      <c r="H7" s="60"/>
    </row>
    <row r="8" spans="1:9" s="59" customFormat="1" ht="12.75">
      <c r="A8" s="59" t="s">
        <v>3</v>
      </c>
      <c r="F8" s="301" t="s">
        <v>478</v>
      </c>
      <c r="H8" s="60"/>
      <c r="I8" s="369">
        <f>3530.6-1.3</f>
        <v>3529.2999999999997</v>
      </c>
    </row>
    <row r="9" spans="1:11" s="59" customFormat="1" ht="12.75">
      <c r="A9" s="445" t="s">
        <v>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s="59" customFormat="1" ht="12.75">
      <c r="A10" s="445" t="s">
        <v>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10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431</v>
      </c>
      <c r="B13" s="64"/>
      <c r="C13" s="64"/>
      <c r="D13" s="69"/>
      <c r="E13" s="70"/>
      <c r="F13" s="70"/>
      <c r="G13" s="65">
        <f>'[2]Болотникова 16'!$G$34</f>
        <v>53205.84170000002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409</v>
      </c>
      <c r="E15" s="72" t="s">
        <v>410</v>
      </c>
      <c r="F15" s="73" t="s">
        <v>411</v>
      </c>
      <c r="G15" s="72" t="s">
        <v>412</v>
      </c>
    </row>
    <row r="16" spans="1:14" s="59" customFormat="1" ht="14.25">
      <c r="A16" s="75" t="s">
        <v>14</v>
      </c>
      <c r="B16" s="41" t="s">
        <v>15</v>
      </c>
      <c r="C16" s="97">
        <f>C17+C18+C19+C20</f>
        <v>9.879999999999999</v>
      </c>
      <c r="D16" s="76">
        <v>443277.06</v>
      </c>
      <c r="E16" s="76">
        <v>437297.94</v>
      </c>
      <c r="F16" s="76">
        <f aca="true" t="shared" si="0" ref="F16:F23">D16</f>
        <v>443277.06</v>
      </c>
      <c r="G16" s="77">
        <f>D16-E16</f>
        <v>5979.119999999995</v>
      </c>
      <c r="H16" s="78">
        <f>C16</f>
        <v>9.879999999999999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155236.7031983806</v>
      </c>
      <c r="E17" s="83">
        <f>E16*I17</f>
        <v>153142.80085020245</v>
      </c>
      <c r="F17" s="83">
        <f t="shared" si="0"/>
        <v>155236.7031983806</v>
      </c>
      <c r="G17" s="84">
        <f>D17-E17</f>
        <v>2093.902348178148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75823.70763157895</v>
      </c>
      <c r="E18" s="83">
        <f>E16*I18</f>
        <v>74800.96342105263</v>
      </c>
      <c r="F18" s="83">
        <f t="shared" si="0"/>
        <v>75823.70763157895</v>
      </c>
      <c r="G18" s="84">
        <f>D18-E18</f>
        <v>1022.744210526318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82">
        <v>1.69</v>
      </c>
      <c r="D19" s="83">
        <f>D16*I19</f>
        <v>75823.70763157895</v>
      </c>
      <c r="E19" s="83">
        <f>E16*I19</f>
        <v>74800.96342105263</v>
      </c>
      <c r="F19" s="83">
        <f t="shared" si="0"/>
        <v>75823.70763157895</v>
      </c>
      <c r="G19" s="84">
        <f>D19-E19</f>
        <v>1022.744210526318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136392.94153846154</v>
      </c>
      <c r="E20" s="83">
        <f>E16*I20</f>
        <v>134553.2123076923</v>
      </c>
      <c r="F20" s="83">
        <f t="shared" si="0"/>
        <v>136392.94153846154</v>
      </c>
      <c r="G20" s="84">
        <f>D20-E20</f>
        <v>1839.7292307692405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209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371</v>
      </c>
      <c r="C22" s="46" t="s">
        <v>798</v>
      </c>
      <c r="D22" s="87">
        <v>93600</v>
      </c>
      <c r="E22" s="87">
        <v>89736.37</v>
      </c>
      <c r="F22" s="87">
        <f t="shared" si="0"/>
        <v>93600</v>
      </c>
      <c r="G22" s="77">
        <f t="shared" si="1"/>
        <v>3863.6300000000047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1.86</v>
      </c>
      <c r="D24" s="87">
        <v>78798.32</v>
      </c>
      <c r="E24" s="87">
        <v>78483.85</v>
      </c>
      <c r="F24" s="87">
        <f>F38</f>
        <v>60348.1085</v>
      </c>
      <c r="G24" s="77">
        <f t="shared" si="1"/>
        <v>314.47000000000116</v>
      </c>
      <c r="H24" s="88"/>
      <c r="I24" s="88"/>
      <c r="J24" s="88"/>
      <c r="K24" s="88"/>
    </row>
    <row r="25" spans="1:11" ht="14.25">
      <c r="A25" s="41" t="s">
        <v>33</v>
      </c>
      <c r="B25" s="41" t="s">
        <v>161</v>
      </c>
      <c r="C25" s="97">
        <v>0</v>
      </c>
      <c r="D25" s="90">
        <v>0</v>
      </c>
      <c r="E25" s="90">
        <v>0</v>
      </c>
      <c r="F25" s="90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2190916.17</v>
      </c>
      <c r="E26" s="77">
        <f>SUM(E27:E30)</f>
        <v>2214630.79</v>
      </c>
      <c r="F26" s="77">
        <f>SUM(F27:F30)</f>
        <v>2190916.17</v>
      </c>
      <c r="G26" s="77">
        <f t="shared" si="1"/>
        <v>-23714.62000000011</v>
      </c>
      <c r="H26" s="98"/>
      <c r="I26" s="98"/>
      <c r="J26" s="98"/>
      <c r="K26" s="98"/>
    </row>
    <row r="27" spans="1:7" ht="15">
      <c r="A27" s="34" t="s">
        <v>37</v>
      </c>
      <c r="B27" s="34" t="s">
        <v>165</v>
      </c>
      <c r="C27" s="285">
        <v>6</v>
      </c>
      <c r="D27" s="84">
        <v>61264.5</v>
      </c>
      <c r="E27" s="84">
        <v>60959.7</v>
      </c>
      <c r="F27" s="84">
        <f>D27</f>
        <v>61264.5</v>
      </c>
      <c r="G27" s="84">
        <f t="shared" si="1"/>
        <v>304.8000000000029</v>
      </c>
    </row>
    <row r="28" spans="1:7" ht="15">
      <c r="A28" s="34" t="s">
        <v>39</v>
      </c>
      <c r="B28" s="34" t="s">
        <v>137</v>
      </c>
      <c r="C28" s="285">
        <v>57.08</v>
      </c>
      <c r="D28" s="84">
        <v>621475.26</v>
      </c>
      <c r="E28" s="84">
        <v>636307.96</v>
      </c>
      <c r="F28" s="84">
        <f>D28</f>
        <v>621475.26</v>
      </c>
      <c r="G28" s="84">
        <f t="shared" si="1"/>
        <v>-14832.699999999953</v>
      </c>
    </row>
    <row r="29" spans="1:7" ht="15">
      <c r="A29" s="34" t="s">
        <v>42</v>
      </c>
      <c r="B29" s="34" t="s">
        <v>340</v>
      </c>
      <c r="C29" s="286"/>
      <c r="D29" s="210">
        <v>0</v>
      </c>
      <c r="E29" s="210">
        <v>0</v>
      </c>
      <c r="F29" s="84">
        <f>D29</f>
        <v>0</v>
      </c>
      <c r="G29" s="84">
        <f t="shared" si="1"/>
        <v>0</v>
      </c>
    </row>
    <row r="30" spans="1:7" ht="15">
      <c r="A30" s="34" t="s">
        <v>41</v>
      </c>
      <c r="B30" s="34" t="s">
        <v>43</v>
      </c>
      <c r="C30" s="285">
        <v>2638.8</v>
      </c>
      <c r="D30" s="84">
        <v>1508176.41</v>
      </c>
      <c r="E30" s="84">
        <v>1517363.13</v>
      </c>
      <c r="F30" s="84">
        <f>D30</f>
        <v>1508176.41</v>
      </c>
      <c r="G30" s="84">
        <f t="shared" si="1"/>
        <v>-9186.719999999972</v>
      </c>
    </row>
    <row r="31" spans="1:9" s="102" customFormat="1" ht="7.5" customHeight="1" thickBot="1">
      <c r="A31" s="100"/>
      <c r="B31" s="100"/>
      <c r="C31" s="100"/>
      <c r="D31" s="101"/>
      <c r="E31" s="101"/>
      <c r="F31" s="101"/>
      <c r="G31" s="101"/>
      <c r="H31" s="101"/>
      <c r="I31" s="101"/>
    </row>
    <row r="32" spans="1:9" s="67" customFormat="1" ht="15.75" thickBot="1">
      <c r="A32" s="455" t="s">
        <v>413</v>
      </c>
      <c r="B32" s="456"/>
      <c r="C32" s="456"/>
      <c r="D32" s="65">
        <v>500761.74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415</v>
      </c>
      <c r="B34" s="64"/>
      <c r="C34" s="64"/>
      <c r="D34" s="69"/>
      <c r="E34" s="70"/>
      <c r="F34" s="70"/>
      <c r="G34" s="144">
        <f>G13+E24-F24</f>
        <v>71341.58320000002</v>
      </c>
      <c r="H34" s="62"/>
      <c r="I34" s="62"/>
    </row>
    <row r="35" spans="1:11" ht="31.5" customHeight="1">
      <c r="A35" s="444" t="s">
        <v>179</v>
      </c>
      <c r="B35" s="444"/>
      <c r="C35" s="444"/>
      <c r="D35" s="444"/>
      <c r="E35" s="444"/>
      <c r="F35" s="444"/>
      <c r="G35" s="444"/>
      <c r="H35" s="444"/>
      <c r="I35" s="444"/>
      <c r="J35" s="444"/>
      <c r="K35" s="444"/>
    </row>
    <row r="37" spans="1:12" s="74" customFormat="1" ht="37.5" customHeight="1">
      <c r="A37" s="105" t="s">
        <v>11</v>
      </c>
      <c r="B37" s="471" t="s">
        <v>45</v>
      </c>
      <c r="C37" s="484"/>
      <c r="D37" s="105" t="s">
        <v>163</v>
      </c>
      <c r="E37" s="105" t="s">
        <v>162</v>
      </c>
      <c r="F37" s="471" t="s">
        <v>46</v>
      </c>
      <c r="G37" s="484"/>
      <c r="H37" s="244"/>
      <c r="I37" s="245"/>
      <c r="L37" s="108"/>
    </row>
    <row r="38" spans="1:12" s="114" customFormat="1" ht="15" customHeight="1">
      <c r="A38" s="109" t="s">
        <v>47</v>
      </c>
      <c r="B38" s="473" t="s">
        <v>111</v>
      </c>
      <c r="C38" s="491"/>
      <c r="D38" s="110"/>
      <c r="E38" s="110"/>
      <c r="F38" s="496">
        <f>SUM(F39:G45)</f>
        <v>60348.1085</v>
      </c>
      <c r="G38" s="483"/>
      <c r="H38" s="246"/>
      <c r="I38" s="247"/>
      <c r="L38" s="115"/>
    </row>
    <row r="39" spans="1:12" ht="15">
      <c r="A39" s="34" t="s">
        <v>16</v>
      </c>
      <c r="B39" s="462" t="s">
        <v>744</v>
      </c>
      <c r="C39" s="489"/>
      <c r="D39" s="403" t="s">
        <v>216</v>
      </c>
      <c r="E39" s="403">
        <v>0.04</v>
      </c>
      <c r="F39" s="525">
        <v>3902.24</v>
      </c>
      <c r="G39" s="526"/>
      <c r="H39" s="248"/>
      <c r="I39" s="249"/>
      <c r="L39" s="119"/>
    </row>
    <row r="40" spans="1:12" ht="15">
      <c r="A40" s="34" t="s">
        <v>18</v>
      </c>
      <c r="B40" s="462" t="s">
        <v>744</v>
      </c>
      <c r="C40" s="489"/>
      <c r="D40" s="403" t="s">
        <v>216</v>
      </c>
      <c r="E40" s="403">
        <v>0.04</v>
      </c>
      <c r="F40" s="525">
        <v>3905.24</v>
      </c>
      <c r="G40" s="526"/>
      <c r="H40" s="40"/>
      <c r="I40" s="40"/>
      <c r="L40" s="119"/>
    </row>
    <row r="41" spans="1:12" ht="15">
      <c r="A41" s="34" t="s">
        <v>20</v>
      </c>
      <c r="B41" s="462" t="s">
        <v>745</v>
      </c>
      <c r="C41" s="489"/>
      <c r="D41" s="403" t="s">
        <v>164</v>
      </c>
      <c r="E41" s="403">
        <v>1</v>
      </c>
      <c r="F41" s="525">
        <v>5755.79</v>
      </c>
      <c r="G41" s="526"/>
      <c r="H41" s="40"/>
      <c r="I41" s="40"/>
      <c r="L41" s="119"/>
    </row>
    <row r="42" spans="1:12" ht="15">
      <c r="A42" s="34" t="s">
        <v>22</v>
      </c>
      <c r="B42" s="462" t="s">
        <v>746</v>
      </c>
      <c r="C42" s="489"/>
      <c r="D42" s="403" t="s">
        <v>391</v>
      </c>
      <c r="E42" s="403">
        <v>12</v>
      </c>
      <c r="F42" s="525">
        <v>24000</v>
      </c>
      <c r="G42" s="526"/>
      <c r="H42" s="40"/>
      <c r="I42" s="40"/>
      <c r="L42" s="119"/>
    </row>
    <row r="43" spans="1:12" ht="15">
      <c r="A43" s="34" t="s">
        <v>24</v>
      </c>
      <c r="B43" s="462" t="s">
        <v>747</v>
      </c>
      <c r="C43" s="489"/>
      <c r="D43" s="403"/>
      <c r="E43" s="403"/>
      <c r="F43" s="525">
        <v>8000</v>
      </c>
      <c r="G43" s="526"/>
      <c r="H43" s="40"/>
      <c r="I43" s="40"/>
      <c r="L43" s="119"/>
    </row>
    <row r="44" spans="1:12" ht="15">
      <c r="A44" s="34" t="s">
        <v>103</v>
      </c>
      <c r="B44" s="449" t="s">
        <v>814</v>
      </c>
      <c r="C44" s="451"/>
      <c r="D44" s="118" t="s">
        <v>391</v>
      </c>
      <c r="E44" s="118">
        <v>5</v>
      </c>
      <c r="F44" s="521">
        <v>14000</v>
      </c>
      <c r="G44" s="522"/>
      <c r="H44" s="40"/>
      <c r="I44" s="40"/>
      <c r="L44" s="119"/>
    </row>
    <row r="45" spans="1:11" s="67" customFormat="1" ht="15">
      <c r="A45" s="34" t="s">
        <v>104</v>
      </c>
      <c r="B45" s="511" t="s">
        <v>188</v>
      </c>
      <c r="C45" s="512"/>
      <c r="D45" s="123"/>
      <c r="E45" s="123"/>
      <c r="F45" s="495">
        <f>E24*1%</f>
        <v>784.8385000000001</v>
      </c>
      <c r="G45" s="495"/>
      <c r="H45" s="59"/>
      <c r="I45" s="59"/>
      <c r="J45" s="59"/>
      <c r="K45" s="59"/>
    </row>
    <row r="46" s="59" customFormat="1" ht="9" customHeight="1"/>
    <row r="47" spans="1:11" s="59" customFormat="1" ht="15">
      <c r="A47" s="67" t="s">
        <v>55</v>
      </c>
      <c r="B47" s="67"/>
      <c r="C47" s="125" t="s">
        <v>49</v>
      </c>
      <c r="D47" s="67"/>
      <c r="E47" s="67"/>
      <c r="F47" s="67" t="s">
        <v>90</v>
      </c>
      <c r="G47" s="67"/>
      <c r="H47" s="67"/>
      <c r="I47" s="67"/>
      <c r="J47" s="67"/>
      <c r="K47" s="67"/>
    </row>
    <row r="48" spans="1:7" s="59" customFormat="1" ht="15">
      <c r="A48" s="67"/>
      <c r="B48" s="67"/>
      <c r="C48" s="125"/>
      <c r="D48" s="67"/>
      <c r="E48" s="67"/>
      <c r="F48" s="126" t="s">
        <v>545</v>
      </c>
      <c r="G48" s="67"/>
    </row>
    <row r="49" spans="1:10" s="59" customFormat="1" ht="15">
      <c r="A49" s="67" t="s">
        <v>50</v>
      </c>
      <c r="B49" s="67"/>
      <c r="C49" s="125"/>
      <c r="D49" s="67"/>
      <c r="E49" s="67"/>
      <c r="F49" s="67"/>
      <c r="G49" s="67"/>
      <c r="H49" s="156"/>
      <c r="I49" s="156"/>
      <c r="J49" s="156"/>
    </row>
    <row r="50" spans="1:11" ht="15">
      <c r="A50" s="67"/>
      <c r="B50" s="67"/>
      <c r="C50" s="127" t="s">
        <v>51</v>
      </c>
      <c r="D50" s="67"/>
      <c r="E50" s="128"/>
      <c r="F50" s="128"/>
      <c r="G50" s="128"/>
      <c r="H50" s="59"/>
      <c r="I50" s="59"/>
      <c r="J50" s="59"/>
      <c r="K50" s="59"/>
    </row>
    <row r="51" spans="1:11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</row>
  </sheetData>
  <sheetProtection/>
  <mergeCells count="27">
    <mergeCell ref="B40:C40"/>
    <mergeCell ref="F40:G40"/>
    <mergeCell ref="B42:C42"/>
    <mergeCell ref="F42:G42"/>
    <mergeCell ref="B43:C43"/>
    <mergeCell ref="B44:C44"/>
    <mergeCell ref="F44:G44"/>
    <mergeCell ref="B41:C41"/>
    <mergeCell ref="F41:G41"/>
    <mergeCell ref="B37:C37"/>
    <mergeCell ref="F37:G37"/>
    <mergeCell ref="F39:G39"/>
    <mergeCell ref="B45:C45"/>
    <mergeCell ref="F45:G45"/>
    <mergeCell ref="B38:C38"/>
    <mergeCell ref="F38:G38"/>
    <mergeCell ref="B39:C39"/>
    <mergeCell ref="F43:G43"/>
    <mergeCell ref="A1:K1"/>
    <mergeCell ref="A2:K2"/>
    <mergeCell ref="A3:K3"/>
    <mergeCell ref="A5:K5"/>
    <mergeCell ref="A9:K9"/>
    <mergeCell ref="A32:C32"/>
    <mergeCell ref="A35:K35"/>
    <mergeCell ref="A10:K10"/>
    <mergeCell ref="A11:K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7030A0"/>
  </sheetPr>
  <dimension ref="A1:N58"/>
  <sheetViews>
    <sheetView zoomScalePageLayoutView="0" workbookViewId="0" topLeftCell="A39">
      <selection activeCell="F48" sqref="F48:G48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2" width="11.421875" style="57" hidden="1" customWidth="1" outlineLevel="1"/>
    <col min="13" max="13" width="10.00390625" style="57" bestFit="1" customWidth="1" collapsed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9" s="59" customFormat="1" ht="16.5" customHeight="1">
      <c r="A7" s="59" t="s">
        <v>2</v>
      </c>
      <c r="F7" s="60" t="s">
        <v>214</v>
      </c>
      <c r="H7" s="301">
        <v>152.2</v>
      </c>
      <c r="I7" s="59" t="s">
        <v>486</v>
      </c>
    </row>
    <row r="8" spans="1:11" s="59" customFormat="1" ht="12.75">
      <c r="A8" s="59" t="s">
        <v>3</v>
      </c>
      <c r="F8" s="301" t="s">
        <v>748</v>
      </c>
      <c r="H8" s="273">
        <v>199.4</v>
      </c>
      <c r="I8" s="59">
        <v>5656.57</v>
      </c>
      <c r="J8" s="61">
        <f>H7+H8+I8</f>
        <v>6008.17</v>
      </c>
      <c r="K8" s="59" t="s">
        <v>487</v>
      </c>
    </row>
    <row r="9" spans="2:10" s="59" customFormat="1" ht="12.75">
      <c r="B9" s="59" t="s">
        <v>507</v>
      </c>
      <c r="F9" s="301" t="s">
        <v>749</v>
      </c>
      <c r="H9" s="242"/>
      <c r="I9" s="251"/>
      <c r="J9" s="251"/>
    </row>
    <row r="10" spans="1:11" s="59" customFormat="1" ht="12.7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11" s="59" customFormat="1" ht="12.7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431</v>
      </c>
      <c r="B14" s="64"/>
      <c r="C14" s="64"/>
      <c r="D14" s="69"/>
      <c r="E14" s="70"/>
      <c r="F14" s="70"/>
      <c r="G14" s="65">
        <f>'[2]Плеханова 2 к.2'!$G$34</f>
        <v>-213019.8823</v>
      </c>
      <c r="H14" s="62"/>
      <c r="I14" s="62"/>
    </row>
    <row r="15" s="59" customFormat="1" ht="6.75" customHeight="1"/>
    <row r="16" spans="1:10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  <c r="J16" s="74">
        <f>D17/12/C17</f>
        <v>5544.112938596491</v>
      </c>
    </row>
    <row r="17" spans="1:14" s="59" customFormat="1" ht="14.25">
      <c r="A17" s="75" t="s">
        <v>14</v>
      </c>
      <c r="B17" s="41" t="s">
        <v>15</v>
      </c>
      <c r="C17" s="97">
        <f>C18+C19+C20+C21+C22</f>
        <v>13.68</v>
      </c>
      <c r="D17" s="76">
        <v>910121.58</v>
      </c>
      <c r="E17" s="76">
        <v>823877.83</v>
      </c>
      <c r="F17" s="76">
        <f aca="true" t="shared" si="0" ref="F17:F24">D17</f>
        <v>910121.58</v>
      </c>
      <c r="G17" s="77">
        <f aca="true" t="shared" si="1" ref="G17:G22">D17-E17</f>
        <v>86243.75</v>
      </c>
      <c r="H17" s="78">
        <f aca="true" t="shared" si="2" ref="H17:H22">C17</f>
        <v>13.68</v>
      </c>
      <c r="I17" s="79"/>
      <c r="J17" s="79"/>
      <c r="K17" s="79"/>
      <c r="M17" s="78"/>
      <c r="N17" s="80"/>
    </row>
    <row r="18" spans="1:9" s="59" customFormat="1" ht="15">
      <c r="A18" s="81" t="s">
        <v>16</v>
      </c>
      <c r="B18" s="34" t="s">
        <v>17</v>
      </c>
      <c r="C18" s="82">
        <v>3.46</v>
      </c>
      <c r="D18" s="83">
        <f>D17*I18</f>
        <v>230191.56921052633</v>
      </c>
      <c r="E18" s="83">
        <f>E17*I18</f>
        <v>208378.457002924</v>
      </c>
      <c r="F18" s="83">
        <f t="shared" si="0"/>
        <v>230191.56921052633</v>
      </c>
      <c r="G18" s="84">
        <f t="shared" si="1"/>
        <v>21813.11220760233</v>
      </c>
      <c r="H18" s="78">
        <f t="shared" si="2"/>
        <v>3.46</v>
      </c>
      <c r="I18" s="59">
        <f>H18/H17</f>
        <v>0.25292397660818716</v>
      </c>
    </row>
    <row r="19" spans="1:9" s="59" customFormat="1" ht="15">
      <c r="A19" s="81" t="s">
        <v>18</v>
      </c>
      <c r="B19" s="34" t="s">
        <v>19</v>
      </c>
      <c r="C19" s="82">
        <v>1.69</v>
      </c>
      <c r="D19" s="83">
        <f>D17*I19</f>
        <v>112434.61039473684</v>
      </c>
      <c r="E19" s="83">
        <f>E17*I19</f>
        <v>101780.228998538</v>
      </c>
      <c r="F19" s="83">
        <f t="shared" si="0"/>
        <v>112434.61039473684</v>
      </c>
      <c r="G19" s="84">
        <f t="shared" si="1"/>
        <v>10654.381396198834</v>
      </c>
      <c r="H19" s="78">
        <f t="shared" si="2"/>
        <v>1.69</v>
      </c>
      <c r="I19" s="59">
        <f>H19/H17</f>
        <v>0.12353801169590643</v>
      </c>
    </row>
    <row r="20" spans="1:9" s="59" customFormat="1" ht="15">
      <c r="A20" s="81" t="s">
        <v>20</v>
      </c>
      <c r="B20" s="34" t="s">
        <v>21</v>
      </c>
      <c r="C20" s="82">
        <v>1.99</v>
      </c>
      <c r="D20" s="83">
        <f>D17*I20</f>
        <v>132393.41697368422</v>
      </c>
      <c r="E20" s="83">
        <f>E17*I20</f>
        <v>119847.72527046782</v>
      </c>
      <c r="F20" s="83">
        <f t="shared" si="0"/>
        <v>132393.41697368422</v>
      </c>
      <c r="G20" s="84">
        <f t="shared" si="1"/>
        <v>12545.691703216391</v>
      </c>
      <c r="H20" s="78">
        <f t="shared" si="2"/>
        <v>1.99</v>
      </c>
      <c r="I20" s="59">
        <f>H20/H17</f>
        <v>0.14546783625730994</v>
      </c>
    </row>
    <row r="21" spans="1:9" s="59" customFormat="1" ht="15">
      <c r="A21" s="81" t="s">
        <v>22</v>
      </c>
      <c r="B21" s="34" t="s">
        <v>23</v>
      </c>
      <c r="C21" s="82">
        <v>3.04</v>
      </c>
      <c r="D21" s="83">
        <f>D17*I21</f>
        <v>202249.24</v>
      </c>
      <c r="E21" s="83">
        <f>E17*I21</f>
        <v>183083.96222222224</v>
      </c>
      <c r="F21" s="83">
        <f t="shared" si="0"/>
        <v>202249.24</v>
      </c>
      <c r="G21" s="84">
        <f t="shared" si="1"/>
        <v>19165.277777777752</v>
      </c>
      <c r="H21" s="78">
        <f t="shared" si="2"/>
        <v>3.04</v>
      </c>
      <c r="I21" s="59">
        <f>H21/H17</f>
        <v>0.22222222222222224</v>
      </c>
    </row>
    <row r="22" spans="1:9" s="59" customFormat="1" ht="15">
      <c r="A22" s="81" t="s">
        <v>484</v>
      </c>
      <c r="B22" s="34" t="s">
        <v>143</v>
      </c>
      <c r="C22" s="82">
        <v>3.5</v>
      </c>
      <c r="D22" s="83">
        <f>I22*D17</f>
        <v>232852.7434210526</v>
      </c>
      <c r="E22" s="83">
        <f>I22*E17</f>
        <v>210787.45650584795</v>
      </c>
      <c r="F22" s="83">
        <f>D22</f>
        <v>232852.7434210526</v>
      </c>
      <c r="G22" s="84">
        <f t="shared" si="1"/>
        <v>22065.286915204662</v>
      </c>
      <c r="H22" s="78">
        <f t="shared" si="2"/>
        <v>3.5</v>
      </c>
      <c r="I22" s="59">
        <f>H22/H17</f>
        <v>0.25584795321637427</v>
      </c>
    </row>
    <row r="23" spans="1:11" s="89" customFormat="1" ht="14.25">
      <c r="A23" s="86" t="s">
        <v>25</v>
      </c>
      <c r="B23" s="86" t="s">
        <v>209</v>
      </c>
      <c r="C23" s="46">
        <v>0</v>
      </c>
      <c r="D23" s="87">
        <v>0</v>
      </c>
      <c r="E23" s="87">
        <v>0</v>
      </c>
      <c r="F23" s="87">
        <v>0</v>
      </c>
      <c r="G23" s="77">
        <f aca="true" t="shared" si="3" ref="G23:G32">D23-E23</f>
        <v>0</v>
      </c>
      <c r="H23" s="88"/>
      <c r="I23" s="88"/>
      <c r="J23" s="88"/>
      <c r="K23" s="88"/>
    </row>
    <row r="24" spans="1:11" s="89" customFormat="1" ht="14.25">
      <c r="A24" s="86" t="s">
        <v>27</v>
      </c>
      <c r="B24" s="86" t="s">
        <v>193</v>
      </c>
      <c r="C24" s="46">
        <v>0</v>
      </c>
      <c r="D24" s="87">
        <v>0</v>
      </c>
      <c r="E24" s="87">
        <v>0</v>
      </c>
      <c r="F24" s="87">
        <f t="shared" si="0"/>
        <v>0</v>
      </c>
      <c r="G24" s="77">
        <f t="shared" si="3"/>
        <v>0</v>
      </c>
      <c r="H24" s="88"/>
      <c r="I24" s="88"/>
      <c r="J24" s="88"/>
      <c r="K24" s="88"/>
    </row>
    <row r="25" spans="1:11" s="89" customFormat="1" ht="14.25">
      <c r="A25" s="86" t="s">
        <v>29</v>
      </c>
      <c r="B25" s="86" t="s">
        <v>26</v>
      </c>
      <c r="C25" s="46">
        <v>3.86</v>
      </c>
      <c r="D25" s="87">
        <v>262235.26</v>
      </c>
      <c r="E25" s="87">
        <v>232810.73</v>
      </c>
      <c r="F25" s="87">
        <f>D25</f>
        <v>262235.26</v>
      </c>
      <c r="G25" s="77">
        <f t="shared" si="3"/>
        <v>29424.53</v>
      </c>
      <c r="H25" s="88"/>
      <c r="I25" s="88"/>
      <c r="J25" s="88"/>
      <c r="K25" s="88"/>
    </row>
    <row r="26" spans="1:11" s="89" customFormat="1" ht="14.25">
      <c r="A26" s="86" t="s">
        <v>31</v>
      </c>
      <c r="B26" s="86" t="s">
        <v>116</v>
      </c>
      <c r="C26" s="95">
        <v>5</v>
      </c>
      <c r="D26" s="87">
        <v>339682.84</v>
      </c>
      <c r="E26" s="87">
        <v>289121.88</v>
      </c>
      <c r="F26" s="87">
        <f>F43</f>
        <v>322455.92879999994</v>
      </c>
      <c r="G26" s="77">
        <f t="shared" si="3"/>
        <v>50560.96000000002</v>
      </c>
      <c r="H26" s="88"/>
      <c r="I26" s="88"/>
      <c r="J26" s="88"/>
      <c r="K26" s="88"/>
    </row>
    <row r="27" spans="1:11" ht="14.25">
      <c r="A27" s="41" t="s">
        <v>33</v>
      </c>
      <c r="B27" s="41" t="s">
        <v>161</v>
      </c>
      <c r="C27" s="97">
        <v>12.54</v>
      </c>
      <c r="D27" s="77">
        <v>0</v>
      </c>
      <c r="E27" s="77">
        <v>0</v>
      </c>
      <c r="F27" s="87">
        <f>D27</f>
        <v>0</v>
      </c>
      <c r="G27" s="77">
        <f t="shared" si="3"/>
        <v>0</v>
      </c>
      <c r="H27" s="98"/>
      <c r="I27" s="98"/>
      <c r="J27" s="98"/>
      <c r="K27" s="98"/>
    </row>
    <row r="28" spans="1:11" ht="14.25">
      <c r="A28" s="41" t="s">
        <v>35</v>
      </c>
      <c r="B28" s="41" t="s">
        <v>36</v>
      </c>
      <c r="C28" s="97"/>
      <c r="D28" s="77">
        <f>SUM(D29:D32)</f>
        <v>4544755.07</v>
      </c>
      <c r="E28" s="77">
        <f>SUM(E29:E32)</f>
        <v>4033874.8200000003</v>
      </c>
      <c r="F28" s="77">
        <f>SUM(F29:F32)</f>
        <v>4544755.07</v>
      </c>
      <c r="G28" s="77">
        <f t="shared" si="3"/>
        <v>510880.25</v>
      </c>
      <c r="H28" s="98"/>
      <c r="I28" s="98"/>
      <c r="J28" s="98"/>
      <c r="K28" s="98"/>
    </row>
    <row r="29" spans="1:7" ht="15">
      <c r="A29" s="34" t="s">
        <v>37</v>
      </c>
      <c r="B29" s="34" t="s">
        <v>240</v>
      </c>
      <c r="C29" s="293">
        <v>4.2</v>
      </c>
      <c r="D29" s="84">
        <v>1341798.8</v>
      </c>
      <c r="E29" s="84">
        <v>1209034.63</v>
      </c>
      <c r="F29" s="84">
        <f>D29</f>
        <v>1341798.8</v>
      </c>
      <c r="G29" s="84">
        <f t="shared" si="3"/>
        <v>132764.17000000016</v>
      </c>
    </row>
    <row r="30" spans="1:7" ht="15">
      <c r="A30" s="34" t="s">
        <v>39</v>
      </c>
      <c r="B30" s="34" t="s">
        <v>137</v>
      </c>
      <c r="C30" s="285">
        <v>57.08</v>
      </c>
      <c r="D30" s="84">
        <v>648407.72</v>
      </c>
      <c r="E30" s="84">
        <v>586814.54</v>
      </c>
      <c r="F30" s="84">
        <f>D30</f>
        <v>648407.72</v>
      </c>
      <c r="G30" s="84">
        <f t="shared" si="3"/>
        <v>61593.179999999935</v>
      </c>
    </row>
    <row r="31" spans="1:7" ht="15">
      <c r="A31" s="34" t="s">
        <v>42</v>
      </c>
      <c r="B31" s="34" t="s">
        <v>340</v>
      </c>
      <c r="C31" s="286">
        <v>211.65</v>
      </c>
      <c r="D31" s="84">
        <v>87554.62</v>
      </c>
      <c r="E31" s="84">
        <v>76374.76</v>
      </c>
      <c r="F31" s="84">
        <f>D31</f>
        <v>87554.62</v>
      </c>
      <c r="G31" s="84">
        <f t="shared" si="3"/>
        <v>11179.86</v>
      </c>
    </row>
    <row r="32" spans="1:7" ht="15">
      <c r="A32" s="34" t="s">
        <v>41</v>
      </c>
      <c r="B32" s="34" t="s">
        <v>43</v>
      </c>
      <c r="C32" s="285">
        <v>2638.8</v>
      </c>
      <c r="D32" s="84">
        <v>2466993.93</v>
      </c>
      <c r="E32" s="84">
        <v>2161650.89</v>
      </c>
      <c r="F32" s="84">
        <f>D32</f>
        <v>2466993.93</v>
      </c>
      <c r="G32" s="84">
        <f t="shared" si="3"/>
        <v>305343.04000000004</v>
      </c>
    </row>
    <row r="33" spans="1:9" s="102" customFormat="1" ht="21" customHeight="1" thickBot="1">
      <c r="A33" s="446" t="s">
        <v>294</v>
      </c>
      <c r="B33" s="447"/>
      <c r="C33" s="447"/>
      <c r="D33" s="448"/>
      <c r="E33" s="448"/>
      <c r="F33" s="448"/>
      <c r="G33" s="101"/>
      <c r="H33" s="101"/>
      <c r="I33" s="101"/>
    </row>
    <row r="34" spans="1:9" s="67" customFormat="1" ht="15.75" thickBot="1">
      <c r="A34" s="455" t="s">
        <v>413</v>
      </c>
      <c r="B34" s="456"/>
      <c r="C34" s="456"/>
      <c r="D34" s="65">
        <v>6672767.37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11" s="67" customFormat="1" ht="15.75" thickBot="1">
      <c r="A36" s="63" t="s">
        <v>415</v>
      </c>
      <c r="B36" s="64"/>
      <c r="C36" s="64"/>
      <c r="D36" s="69"/>
      <c r="E36" s="70"/>
      <c r="F36" s="70"/>
      <c r="G36" s="144">
        <f>G14+E26-F26</f>
        <v>-246353.93109999993</v>
      </c>
      <c r="H36" s="62"/>
      <c r="I36" s="62"/>
      <c r="K36" s="145"/>
    </row>
    <row r="37" spans="1:11" s="67" customFormat="1" ht="15">
      <c r="A37" s="516" t="s">
        <v>144</v>
      </c>
      <c r="B37" s="516"/>
      <c r="C37" s="68"/>
      <c r="D37" s="40"/>
      <c r="E37" s="66"/>
      <c r="F37" s="66"/>
      <c r="G37" s="40"/>
      <c r="H37" s="62"/>
      <c r="I37" s="62"/>
      <c r="K37" s="145"/>
    </row>
    <row r="38" spans="1:11" s="67" customFormat="1" ht="15">
      <c r="A38" s="599" t="s">
        <v>145</v>
      </c>
      <c r="B38" s="600"/>
      <c r="C38" s="44" t="s">
        <v>146</v>
      </c>
      <c r="D38" s="44" t="s">
        <v>147</v>
      </c>
      <c r="E38" s="45" t="s">
        <v>148</v>
      </c>
      <c r="F38" s="42" t="s">
        <v>149</v>
      </c>
      <c r="G38" s="45" t="s">
        <v>150</v>
      </c>
      <c r="H38" s="62"/>
      <c r="I38" s="62"/>
      <c r="K38" s="145"/>
    </row>
    <row r="39" spans="1:11" s="67" customFormat="1" ht="15.75" thickBot="1">
      <c r="A39" s="601"/>
      <c r="B39" s="602"/>
      <c r="C39" s="294">
        <v>199.4</v>
      </c>
      <c r="D39" s="153">
        <f>E39/12/C39</f>
        <v>28.79282848545637</v>
      </c>
      <c r="E39" s="234">
        <v>68895.48</v>
      </c>
      <c r="F39" s="234">
        <v>68895.48</v>
      </c>
      <c r="G39" s="153">
        <f>E39-F39</f>
        <v>0</v>
      </c>
      <c r="H39" s="62"/>
      <c r="I39" s="62"/>
      <c r="K39" s="145"/>
    </row>
    <row r="40" spans="1:11" ht="31.5" customHeight="1">
      <c r="A40" s="616" t="s">
        <v>179</v>
      </c>
      <c r="B40" s="617"/>
      <c r="C40" s="617"/>
      <c r="D40" s="617"/>
      <c r="E40" s="617"/>
      <c r="F40" s="617"/>
      <c r="G40" s="617"/>
      <c r="H40" s="58"/>
      <c r="I40" s="58"/>
      <c r="J40" s="58"/>
      <c r="K40" s="58"/>
    </row>
    <row r="42" spans="1:12" s="74" customFormat="1" ht="37.5" customHeight="1">
      <c r="A42" s="105" t="s">
        <v>11</v>
      </c>
      <c r="B42" s="471" t="s">
        <v>45</v>
      </c>
      <c r="C42" s="484"/>
      <c r="D42" s="105" t="s">
        <v>163</v>
      </c>
      <c r="E42" s="105" t="s">
        <v>162</v>
      </c>
      <c r="F42" s="598" t="s">
        <v>46</v>
      </c>
      <c r="G42" s="598"/>
      <c r="H42" s="106"/>
      <c r="I42" s="107"/>
      <c r="L42" s="108"/>
    </row>
    <row r="43" spans="1:12" s="114" customFormat="1" ht="15" customHeight="1">
      <c r="A43" s="109" t="s">
        <v>47</v>
      </c>
      <c r="B43" s="473" t="s">
        <v>111</v>
      </c>
      <c r="C43" s="491"/>
      <c r="D43" s="110"/>
      <c r="E43" s="110"/>
      <c r="F43" s="611">
        <f>SUM(F44:G52)</f>
        <v>322455.92879999994</v>
      </c>
      <c r="G43" s="612"/>
      <c r="H43" s="112"/>
      <c r="I43" s="113"/>
      <c r="L43" s="115"/>
    </row>
    <row r="44" spans="1:12" ht="15">
      <c r="A44" s="34" t="s">
        <v>16</v>
      </c>
      <c r="B44" s="462" t="s">
        <v>750</v>
      </c>
      <c r="C44" s="489"/>
      <c r="D44" s="337" t="s">
        <v>216</v>
      </c>
      <c r="E44" s="337">
        <v>0.05</v>
      </c>
      <c r="F44" s="497">
        <v>5918.67</v>
      </c>
      <c r="G44" s="497"/>
      <c r="H44" s="40"/>
      <c r="I44" s="40"/>
      <c r="L44" s="119"/>
    </row>
    <row r="45" spans="1:12" ht="18" customHeight="1">
      <c r="A45" s="34" t="s">
        <v>18</v>
      </c>
      <c r="B45" s="462" t="s">
        <v>168</v>
      </c>
      <c r="C45" s="489"/>
      <c r="D45" s="337" t="s">
        <v>227</v>
      </c>
      <c r="E45" s="337">
        <v>1.1</v>
      </c>
      <c r="F45" s="497">
        <v>89531.38</v>
      </c>
      <c r="G45" s="497"/>
      <c r="H45" s="40"/>
      <c r="I45" s="40"/>
      <c r="L45" s="119"/>
    </row>
    <row r="46" spans="1:12" ht="15">
      <c r="A46" s="34" t="s">
        <v>20</v>
      </c>
      <c r="B46" s="462" t="s">
        <v>751</v>
      </c>
      <c r="C46" s="489"/>
      <c r="D46" s="337" t="s">
        <v>217</v>
      </c>
      <c r="E46" s="337">
        <v>0.02</v>
      </c>
      <c r="F46" s="497">
        <v>27914.45</v>
      </c>
      <c r="G46" s="497"/>
      <c r="H46" s="40"/>
      <c r="I46" s="40"/>
      <c r="L46" s="119"/>
    </row>
    <row r="47" spans="1:12" ht="15">
      <c r="A47" s="34" t="s">
        <v>22</v>
      </c>
      <c r="B47" s="462" t="s">
        <v>752</v>
      </c>
      <c r="C47" s="489"/>
      <c r="D47" s="403" t="s">
        <v>216</v>
      </c>
      <c r="E47" s="403">
        <v>0.09</v>
      </c>
      <c r="F47" s="497">
        <v>12601.21</v>
      </c>
      <c r="G47" s="497"/>
      <c r="H47" s="40"/>
      <c r="I47" s="40"/>
      <c r="L47" s="119"/>
    </row>
    <row r="48" spans="1:12" ht="15">
      <c r="A48" s="34" t="s">
        <v>24</v>
      </c>
      <c r="B48" s="462" t="s">
        <v>564</v>
      </c>
      <c r="C48" s="489"/>
      <c r="D48" s="403"/>
      <c r="E48" s="403"/>
      <c r="F48" s="515">
        <v>129719</v>
      </c>
      <c r="G48" s="515"/>
      <c r="H48" s="40"/>
      <c r="I48" s="40"/>
      <c r="L48" s="119"/>
    </row>
    <row r="49" spans="1:12" ht="15">
      <c r="A49" s="34" t="s">
        <v>103</v>
      </c>
      <c r="B49" s="462" t="s">
        <v>753</v>
      </c>
      <c r="C49" s="489"/>
      <c r="D49" s="337"/>
      <c r="E49" s="337"/>
      <c r="F49" s="497">
        <v>32000</v>
      </c>
      <c r="G49" s="497"/>
      <c r="H49" s="40"/>
      <c r="I49" s="40"/>
      <c r="L49" s="119"/>
    </row>
    <row r="50" spans="1:12" ht="15">
      <c r="A50" s="34" t="s">
        <v>104</v>
      </c>
      <c r="B50" s="462" t="s">
        <v>754</v>
      </c>
      <c r="C50" s="489"/>
      <c r="D50" s="337" t="s">
        <v>216</v>
      </c>
      <c r="E50" s="337">
        <v>0.08</v>
      </c>
      <c r="F50" s="497">
        <v>13480</v>
      </c>
      <c r="G50" s="497"/>
      <c r="H50" s="40"/>
      <c r="I50" s="40"/>
      <c r="L50" s="119"/>
    </row>
    <row r="51" spans="1:12" ht="15">
      <c r="A51" s="34" t="s">
        <v>117</v>
      </c>
      <c r="B51" s="449" t="s">
        <v>814</v>
      </c>
      <c r="C51" s="451"/>
      <c r="D51" s="118" t="s">
        <v>391</v>
      </c>
      <c r="E51" s="118">
        <v>3</v>
      </c>
      <c r="F51" s="495">
        <v>8400</v>
      </c>
      <c r="G51" s="495"/>
      <c r="H51" s="40"/>
      <c r="I51" s="40"/>
      <c r="L51" s="119"/>
    </row>
    <row r="52" spans="1:11" s="67" customFormat="1" ht="15">
      <c r="A52" s="34" t="s">
        <v>118</v>
      </c>
      <c r="B52" s="511" t="s">
        <v>188</v>
      </c>
      <c r="C52" s="512"/>
      <c r="D52" s="123"/>
      <c r="E52" s="123"/>
      <c r="F52" s="495">
        <f>E26*1%</f>
        <v>2891.2188</v>
      </c>
      <c r="G52" s="495"/>
      <c r="H52" s="59"/>
      <c r="I52" s="59"/>
      <c r="J52" s="59"/>
      <c r="K52" s="59"/>
    </row>
    <row r="53" s="59" customFormat="1" ht="9" customHeight="1"/>
    <row r="54" spans="1:11" s="59" customFormat="1" ht="15">
      <c r="A54" s="67" t="s">
        <v>55</v>
      </c>
      <c r="B54" s="67"/>
      <c r="C54" s="125" t="s">
        <v>49</v>
      </c>
      <c r="D54" s="67"/>
      <c r="E54" s="67"/>
      <c r="F54" s="67" t="s">
        <v>90</v>
      </c>
      <c r="G54" s="67"/>
      <c r="H54" s="67"/>
      <c r="I54" s="67"/>
      <c r="J54" s="67"/>
      <c r="K54" s="67"/>
    </row>
    <row r="55" spans="1:7" s="59" customFormat="1" ht="15">
      <c r="A55" s="67"/>
      <c r="B55" s="67"/>
      <c r="C55" s="125"/>
      <c r="D55" s="67"/>
      <c r="E55" s="67"/>
      <c r="F55" s="126" t="s">
        <v>545</v>
      </c>
      <c r="G55" s="67"/>
    </row>
    <row r="56" spans="1:10" s="59" customFormat="1" ht="15">
      <c r="A56" s="67" t="s">
        <v>50</v>
      </c>
      <c r="B56" s="67"/>
      <c r="C56" s="125"/>
      <c r="D56" s="67"/>
      <c r="E56" s="67"/>
      <c r="F56" s="67"/>
      <c r="G56" s="67"/>
      <c r="H56" s="156"/>
      <c r="I56" s="156"/>
      <c r="J56" s="156"/>
    </row>
    <row r="57" spans="1:11" ht="15">
      <c r="A57" s="67"/>
      <c r="B57" s="67"/>
      <c r="C57" s="127" t="s">
        <v>51</v>
      </c>
      <c r="D57" s="67"/>
      <c r="E57" s="128"/>
      <c r="F57" s="128"/>
      <c r="G57" s="128"/>
      <c r="H57" s="59"/>
      <c r="I57" s="59"/>
      <c r="J57" s="59"/>
      <c r="K57" s="59"/>
    </row>
    <row r="58" spans="1:11" ht="12.7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</row>
  </sheetData>
  <sheetProtection/>
  <mergeCells count="34">
    <mergeCell ref="B51:C51"/>
    <mergeCell ref="F51:G51"/>
    <mergeCell ref="B47:C47"/>
    <mergeCell ref="B48:C48"/>
    <mergeCell ref="F47:G47"/>
    <mergeCell ref="F48:G48"/>
    <mergeCell ref="B50:C50"/>
    <mergeCell ref="F50:G50"/>
    <mergeCell ref="B52:C52"/>
    <mergeCell ref="F52:G52"/>
    <mergeCell ref="B43:C43"/>
    <mergeCell ref="F43:G43"/>
    <mergeCell ref="B44:C44"/>
    <mergeCell ref="F44:G44"/>
    <mergeCell ref="B45:C45"/>
    <mergeCell ref="F45:G45"/>
    <mergeCell ref="B49:C49"/>
    <mergeCell ref="F49:G49"/>
    <mergeCell ref="B42:C42"/>
    <mergeCell ref="F42:G42"/>
    <mergeCell ref="A40:G40"/>
    <mergeCell ref="A33:F33"/>
    <mergeCell ref="A37:B37"/>
    <mergeCell ref="A38:B39"/>
    <mergeCell ref="B46:C46"/>
    <mergeCell ref="F46:G46"/>
    <mergeCell ref="A1:K1"/>
    <mergeCell ref="A2:K2"/>
    <mergeCell ref="A3:K3"/>
    <mergeCell ref="A5:K5"/>
    <mergeCell ref="A10:K10"/>
    <mergeCell ref="A11:K11"/>
    <mergeCell ref="A12:K12"/>
    <mergeCell ref="A34:C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7030A0"/>
  </sheetPr>
  <dimension ref="A1:N62"/>
  <sheetViews>
    <sheetView zoomScalePageLayoutView="0" workbookViewId="0" topLeftCell="A43">
      <selection activeCell="A54" sqref="A5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10" s="59" customFormat="1" ht="16.5" customHeight="1">
      <c r="A7" s="59" t="s">
        <v>2</v>
      </c>
      <c r="F7" s="60" t="s">
        <v>244</v>
      </c>
      <c r="H7" s="303">
        <v>22470.7</v>
      </c>
      <c r="I7" s="304">
        <f>90.3+149.8+74</f>
        <v>314.1</v>
      </c>
      <c r="J7" s="59">
        <f>H7+I7</f>
        <v>22784.8</v>
      </c>
    </row>
    <row r="8" spans="1:8" s="59" customFormat="1" ht="12.75">
      <c r="A8" s="59" t="s">
        <v>3</v>
      </c>
      <c r="F8" s="301" t="s">
        <v>381</v>
      </c>
      <c r="H8" s="60"/>
    </row>
    <row r="9" spans="2:8" s="59" customFormat="1" ht="12.75">
      <c r="B9" s="59" t="s">
        <v>507</v>
      </c>
      <c r="F9" s="301" t="s">
        <v>763</v>
      </c>
      <c r="H9" s="60"/>
    </row>
    <row r="10" spans="1:11" s="59" customFormat="1" ht="12.7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11" s="59" customFormat="1" ht="12.7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488</v>
      </c>
      <c r="B14" s="64"/>
      <c r="C14" s="64"/>
      <c r="D14" s="69"/>
      <c r="E14" s="70"/>
      <c r="F14" s="70"/>
      <c r="G14" s="65">
        <f>'[2]65 лет Победы 29'!$G$36</f>
        <v>-769864.6280999999</v>
      </c>
      <c r="H14" s="62"/>
      <c r="I14" s="62"/>
    </row>
    <row r="15" s="59" customFormat="1" ht="6.75" customHeight="1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</row>
    <row r="17" spans="1:14" s="59" customFormat="1" ht="14.25">
      <c r="A17" s="75" t="s">
        <v>14</v>
      </c>
      <c r="B17" s="41" t="s">
        <v>15</v>
      </c>
      <c r="C17" s="97">
        <f>C18+C19+C20+C21+C22</f>
        <v>12.69</v>
      </c>
      <c r="D17" s="76">
        <v>3517880.04</v>
      </c>
      <c r="E17" s="76">
        <v>3413841.97</v>
      </c>
      <c r="F17" s="76">
        <f aca="true" t="shared" si="0" ref="F17:F24">D17</f>
        <v>3517880.04</v>
      </c>
      <c r="G17" s="77">
        <f aca="true" t="shared" si="1" ref="G17:G22">D17-E17</f>
        <v>104038.06999999983</v>
      </c>
      <c r="H17" s="78">
        <f aca="true" t="shared" si="2" ref="H17:H22">C17</f>
        <v>12.69</v>
      </c>
      <c r="I17" s="79"/>
      <c r="J17" s="79"/>
      <c r="K17" s="79"/>
      <c r="M17" s="78"/>
      <c r="N17" s="80"/>
    </row>
    <row r="18" spans="1:9" s="59" customFormat="1" ht="15">
      <c r="A18" s="81" t="s">
        <v>16</v>
      </c>
      <c r="B18" s="34" t="s">
        <v>17</v>
      </c>
      <c r="C18" s="82">
        <v>3.46</v>
      </c>
      <c r="D18" s="83">
        <f>D17*I18</f>
        <v>959169.8139007093</v>
      </c>
      <c r="E18" s="83">
        <f>E17*I18</f>
        <v>930803.247927502</v>
      </c>
      <c r="F18" s="83">
        <f t="shared" si="0"/>
        <v>959169.8139007093</v>
      </c>
      <c r="G18" s="84">
        <f t="shared" si="1"/>
        <v>28366.565973207238</v>
      </c>
      <c r="H18" s="78">
        <f t="shared" si="2"/>
        <v>3.46</v>
      </c>
      <c r="I18" s="59">
        <f>H18/H17</f>
        <v>0.272655634357762</v>
      </c>
    </row>
    <row r="19" spans="1:9" s="59" customFormat="1" ht="15">
      <c r="A19" s="81" t="s">
        <v>18</v>
      </c>
      <c r="B19" s="34" t="s">
        <v>19</v>
      </c>
      <c r="C19" s="82">
        <v>1.69</v>
      </c>
      <c r="D19" s="83">
        <f>D17*I19</f>
        <v>468496.23858156026</v>
      </c>
      <c r="E19" s="83">
        <f>E17*I19</f>
        <v>454640.89277383767</v>
      </c>
      <c r="F19" s="83">
        <f t="shared" si="0"/>
        <v>468496.23858156026</v>
      </c>
      <c r="G19" s="84">
        <f t="shared" si="1"/>
        <v>13855.345807722595</v>
      </c>
      <c r="H19" s="78">
        <f t="shared" si="2"/>
        <v>1.69</v>
      </c>
      <c r="I19" s="59">
        <f>H19/H17</f>
        <v>0.13317572892040977</v>
      </c>
    </row>
    <row r="20" spans="1:9" s="59" customFormat="1" ht="15">
      <c r="A20" s="81" t="s">
        <v>20</v>
      </c>
      <c r="B20" s="34" t="s">
        <v>21</v>
      </c>
      <c r="C20" s="82">
        <v>1.99</v>
      </c>
      <c r="D20" s="83">
        <f>D17*I20</f>
        <v>551661.2513475177</v>
      </c>
      <c r="E20" s="83">
        <f>E17*I20</f>
        <v>535346.3766981876</v>
      </c>
      <c r="F20" s="83">
        <f t="shared" si="0"/>
        <v>551661.2513475177</v>
      </c>
      <c r="G20" s="84">
        <f t="shared" si="1"/>
        <v>16314.874649330159</v>
      </c>
      <c r="H20" s="78">
        <f t="shared" si="2"/>
        <v>1.99</v>
      </c>
      <c r="I20" s="59">
        <f>H20/H17</f>
        <v>0.15681639085894405</v>
      </c>
    </row>
    <row r="21" spans="1:9" s="59" customFormat="1" ht="15">
      <c r="A21" s="81" t="s">
        <v>22</v>
      </c>
      <c r="B21" s="34" t="s">
        <v>23</v>
      </c>
      <c r="C21" s="82">
        <v>3.04</v>
      </c>
      <c r="D21" s="83">
        <f>D17*I21</f>
        <v>842738.7960283689</v>
      </c>
      <c r="E21" s="83">
        <f>E17*I21</f>
        <v>817815.5704334122</v>
      </c>
      <c r="F21" s="83">
        <f t="shared" si="0"/>
        <v>842738.7960283689</v>
      </c>
      <c r="G21" s="84">
        <f t="shared" si="1"/>
        <v>24923.22559495666</v>
      </c>
      <c r="H21" s="78">
        <f t="shared" si="2"/>
        <v>3.04</v>
      </c>
      <c r="I21" s="59">
        <f>H21/H17</f>
        <v>0.23955870764381404</v>
      </c>
    </row>
    <row r="22" spans="1:9" s="59" customFormat="1" ht="15">
      <c r="A22" s="81" t="s">
        <v>24</v>
      </c>
      <c r="B22" s="34" t="s">
        <v>143</v>
      </c>
      <c r="C22" s="82">
        <v>2.51</v>
      </c>
      <c r="D22" s="83">
        <f>D18*I22</f>
        <v>695813.940141844</v>
      </c>
      <c r="E22" s="83">
        <f>E18*I22</f>
        <v>675235.8821670606</v>
      </c>
      <c r="F22" s="83">
        <f>D22</f>
        <v>695813.940141844</v>
      </c>
      <c r="G22" s="84">
        <f t="shared" si="1"/>
        <v>20578.057974783354</v>
      </c>
      <c r="H22" s="78">
        <f t="shared" si="2"/>
        <v>2.51</v>
      </c>
      <c r="I22" s="59">
        <f>H22/H18</f>
        <v>0.7254335260115606</v>
      </c>
    </row>
    <row r="23" spans="1:11" s="89" customFormat="1" ht="14.25">
      <c r="A23" s="86" t="s">
        <v>25</v>
      </c>
      <c r="B23" s="86" t="s">
        <v>209</v>
      </c>
      <c r="C23" s="46">
        <v>0</v>
      </c>
      <c r="D23" s="87">
        <v>0</v>
      </c>
      <c r="E23" s="87">
        <v>0</v>
      </c>
      <c r="F23" s="87">
        <f>D23</f>
        <v>0</v>
      </c>
      <c r="G23" s="77">
        <f aca="true" t="shared" si="3" ref="G23:G33">D23-E23</f>
        <v>0</v>
      </c>
      <c r="H23" s="88"/>
      <c r="I23" s="88"/>
      <c r="J23" s="88"/>
      <c r="K23" s="88"/>
    </row>
    <row r="24" spans="1:11" s="89" customFormat="1" ht="14.25">
      <c r="A24" s="86" t="s">
        <v>27</v>
      </c>
      <c r="B24" s="86" t="s">
        <v>193</v>
      </c>
      <c r="C24" s="46">
        <v>0</v>
      </c>
      <c r="D24" s="87">
        <v>0</v>
      </c>
      <c r="E24" s="87">
        <v>0</v>
      </c>
      <c r="F24" s="87">
        <f t="shared" si="0"/>
        <v>0</v>
      </c>
      <c r="G24" s="77">
        <f t="shared" si="3"/>
        <v>0</v>
      </c>
      <c r="H24" s="88"/>
      <c r="I24" s="88"/>
      <c r="J24" s="88"/>
      <c r="K24" s="88"/>
    </row>
    <row r="25" spans="1:11" s="89" customFormat="1" ht="14.25">
      <c r="A25" s="86" t="s">
        <v>29</v>
      </c>
      <c r="B25" s="86" t="s">
        <v>26</v>
      </c>
      <c r="C25" s="46">
        <v>3.86</v>
      </c>
      <c r="D25" s="87">
        <v>1045621.79</v>
      </c>
      <c r="E25" s="87">
        <v>1014919.55</v>
      </c>
      <c r="F25" s="87">
        <f>D25</f>
        <v>1045621.79</v>
      </c>
      <c r="G25" s="77">
        <f t="shared" si="3"/>
        <v>30702.23999999999</v>
      </c>
      <c r="H25" s="88"/>
      <c r="I25" s="88"/>
      <c r="J25" s="88"/>
      <c r="K25" s="88"/>
    </row>
    <row r="26" spans="1:11" s="89" customFormat="1" ht="14.25">
      <c r="A26" s="86" t="s">
        <v>31</v>
      </c>
      <c r="B26" s="86" t="s">
        <v>116</v>
      </c>
      <c r="C26" s="95">
        <v>2.06</v>
      </c>
      <c r="D26" s="87">
        <v>563245.56</v>
      </c>
      <c r="E26" s="87">
        <v>546826.8</v>
      </c>
      <c r="F26" s="87">
        <f>F41</f>
        <v>638620.398</v>
      </c>
      <c r="G26" s="77">
        <f t="shared" si="3"/>
        <v>16418.76000000001</v>
      </c>
      <c r="H26" s="88"/>
      <c r="I26" s="88"/>
      <c r="J26" s="88"/>
      <c r="K26" s="88"/>
    </row>
    <row r="27" spans="1:11" ht="14.25">
      <c r="A27" s="41" t="s">
        <v>33</v>
      </c>
      <c r="B27" s="41" t="s">
        <v>161</v>
      </c>
      <c r="C27" s="97" t="s">
        <v>297</v>
      </c>
      <c r="D27" s="90">
        <v>0</v>
      </c>
      <c r="E27" s="90">
        <v>0</v>
      </c>
      <c r="F27" s="90">
        <f>D27</f>
        <v>0</v>
      </c>
      <c r="G27" s="77">
        <f t="shared" si="3"/>
        <v>0</v>
      </c>
      <c r="H27" s="98"/>
      <c r="I27" s="98"/>
      <c r="J27" s="98"/>
      <c r="K27" s="98"/>
    </row>
    <row r="28" spans="1:11" ht="14.25">
      <c r="A28" s="41" t="s">
        <v>35</v>
      </c>
      <c r="B28" s="41" t="s">
        <v>185</v>
      </c>
      <c r="C28" s="97">
        <v>1.32</v>
      </c>
      <c r="D28" s="77">
        <v>360921.96</v>
      </c>
      <c r="E28" s="77">
        <v>350646.76</v>
      </c>
      <c r="F28" s="90">
        <f>F55</f>
        <v>336150</v>
      </c>
      <c r="G28" s="77">
        <f t="shared" si="3"/>
        <v>10275.200000000012</v>
      </c>
      <c r="H28" s="98"/>
      <c r="I28" s="98"/>
      <c r="J28" s="98"/>
      <c r="K28" s="98"/>
    </row>
    <row r="29" spans="1:11" ht="14.25">
      <c r="A29" s="41" t="s">
        <v>192</v>
      </c>
      <c r="B29" s="41" t="s">
        <v>36</v>
      </c>
      <c r="C29" s="97"/>
      <c r="D29" s="77">
        <f>SUM(D30:D33)</f>
        <v>3907957.54</v>
      </c>
      <c r="E29" s="77">
        <f>SUM(E30:E33)</f>
        <v>3768557.29</v>
      </c>
      <c r="F29" s="77">
        <f>SUM(F30:F33)</f>
        <v>2750516.04</v>
      </c>
      <c r="G29" s="77">
        <f t="shared" si="3"/>
        <v>139400.25</v>
      </c>
      <c r="H29" s="98"/>
      <c r="I29" s="98"/>
      <c r="J29" s="98"/>
      <c r="K29" s="98"/>
    </row>
    <row r="30" spans="1:7" ht="15">
      <c r="A30" s="34" t="s">
        <v>194</v>
      </c>
      <c r="B30" s="34" t="s">
        <v>165</v>
      </c>
      <c r="C30" s="293">
        <v>4.2</v>
      </c>
      <c r="D30" s="84">
        <v>1245705.4</v>
      </c>
      <c r="E30" s="84">
        <v>1211746.85</v>
      </c>
      <c r="F30" s="84">
        <v>88263.9</v>
      </c>
      <c r="G30" s="84">
        <f t="shared" si="3"/>
        <v>33958.549999999814</v>
      </c>
    </row>
    <row r="31" spans="1:7" ht="15">
      <c r="A31" s="34" t="s">
        <v>195</v>
      </c>
      <c r="B31" s="34" t="s">
        <v>137</v>
      </c>
      <c r="C31" s="285">
        <v>57.08</v>
      </c>
      <c r="D31" s="84">
        <v>1763973.93</v>
      </c>
      <c r="E31" s="84">
        <v>1688623.62</v>
      </c>
      <c r="F31" s="84">
        <f>D31</f>
        <v>1763973.93</v>
      </c>
      <c r="G31" s="84">
        <f t="shared" si="3"/>
        <v>75350.30999999982</v>
      </c>
    </row>
    <row r="32" spans="1:7" ht="15">
      <c r="A32" s="34" t="s">
        <v>196</v>
      </c>
      <c r="B32" s="51" t="s">
        <v>382</v>
      </c>
      <c r="C32" s="285">
        <v>57.08</v>
      </c>
      <c r="D32" s="84">
        <v>898278.21</v>
      </c>
      <c r="E32" s="84">
        <v>868186.82</v>
      </c>
      <c r="F32" s="84">
        <f>D32</f>
        <v>898278.21</v>
      </c>
      <c r="G32" s="84">
        <f t="shared" si="3"/>
        <v>30091.390000000014</v>
      </c>
    </row>
    <row r="33" spans="1:7" s="272" customFormat="1" ht="15">
      <c r="A33" s="267" t="s">
        <v>197</v>
      </c>
      <c r="B33" s="267" t="s">
        <v>43</v>
      </c>
      <c r="C33" s="143">
        <v>0</v>
      </c>
      <c r="D33" s="210">
        <v>0</v>
      </c>
      <c r="E33" s="210">
        <v>0</v>
      </c>
      <c r="F33" s="210">
        <f>D33</f>
        <v>0</v>
      </c>
      <c r="G33" s="84">
        <f t="shared" si="3"/>
        <v>0</v>
      </c>
    </row>
    <row r="34" spans="1:9" s="102" customFormat="1" ht="21" customHeight="1" thickBot="1">
      <c r="A34" s="446" t="s">
        <v>294</v>
      </c>
      <c r="B34" s="447"/>
      <c r="C34" s="447"/>
      <c r="D34" s="448"/>
      <c r="E34" s="448"/>
      <c r="F34" s="448"/>
      <c r="G34" s="101"/>
      <c r="H34" s="101"/>
      <c r="I34" s="101"/>
    </row>
    <row r="35" spans="1:9" s="67" customFormat="1" ht="15.75" thickBot="1">
      <c r="A35" s="455" t="s">
        <v>413</v>
      </c>
      <c r="B35" s="456"/>
      <c r="C35" s="456"/>
      <c r="D35" s="65">
        <v>3638818.13</v>
      </c>
      <c r="E35" s="66"/>
      <c r="F35" s="66"/>
      <c r="G35" s="66"/>
      <c r="H35" s="62"/>
      <c r="I35" s="62"/>
    </row>
    <row r="36" spans="1:9" s="67" customFormat="1" ht="6" customHeight="1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415</v>
      </c>
      <c r="B37" s="64"/>
      <c r="C37" s="64"/>
      <c r="D37" s="69"/>
      <c r="E37" s="70"/>
      <c r="F37" s="70"/>
      <c r="G37" s="144">
        <f>G14+E26-F26</f>
        <v>-861658.2260999999</v>
      </c>
      <c r="H37" s="62"/>
      <c r="I37" s="62"/>
    </row>
    <row r="38" spans="1:11" ht="31.5" customHeight="1">
      <c r="A38" s="538" t="s">
        <v>179</v>
      </c>
      <c r="B38" s="539"/>
      <c r="C38" s="539"/>
      <c r="D38" s="539"/>
      <c r="E38" s="539"/>
      <c r="F38" s="539"/>
      <c r="G38" s="539"/>
      <c r="H38" s="58"/>
      <c r="I38" s="58"/>
      <c r="J38" s="58"/>
      <c r="K38" s="58"/>
    </row>
    <row r="40" spans="1:12" s="74" customFormat="1" ht="37.5" customHeight="1">
      <c r="A40" s="105" t="s">
        <v>11</v>
      </c>
      <c r="B40" s="471" t="s">
        <v>45</v>
      </c>
      <c r="C40" s="484"/>
      <c r="D40" s="105" t="s">
        <v>163</v>
      </c>
      <c r="E40" s="105" t="s">
        <v>162</v>
      </c>
      <c r="F40" s="471" t="s">
        <v>46</v>
      </c>
      <c r="G40" s="484"/>
      <c r="H40" s="244"/>
      <c r="I40" s="245"/>
      <c r="L40" s="108"/>
    </row>
    <row r="41" spans="1:12" s="114" customFormat="1" ht="15" customHeight="1">
      <c r="A41" s="109" t="s">
        <v>47</v>
      </c>
      <c r="B41" s="473" t="s">
        <v>111</v>
      </c>
      <c r="C41" s="491"/>
      <c r="D41" s="110"/>
      <c r="E41" s="110"/>
      <c r="F41" s="496">
        <f>SUM(F42:G54)</f>
        <v>638620.398</v>
      </c>
      <c r="G41" s="483"/>
      <c r="H41" s="246"/>
      <c r="I41" s="247"/>
      <c r="L41" s="115"/>
    </row>
    <row r="42" spans="1:12" ht="26.25">
      <c r="A42" s="34" t="s">
        <v>16</v>
      </c>
      <c r="B42" s="462" t="s">
        <v>324</v>
      </c>
      <c r="C42" s="489"/>
      <c r="D42" s="403"/>
      <c r="E42" s="403" t="s">
        <v>221</v>
      </c>
      <c r="F42" s="624">
        <v>32800</v>
      </c>
      <c r="G42" s="625"/>
      <c r="H42" s="248"/>
      <c r="I42" s="249"/>
      <c r="L42" s="119"/>
    </row>
    <row r="43" spans="1:12" ht="26.25">
      <c r="A43" s="34" t="s">
        <v>18</v>
      </c>
      <c r="B43" s="462" t="s">
        <v>324</v>
      </c>
      <c r="C43" s="489"/>
      <c r="D43" s="403"/>
      <c r="E43" s="403" t="s">
        <v>221</v>
      </c>
      <c r="F43" s="624">
        <v>750</v>
      </c>
      <c r="G43" s="625"/>
      <c r="H43" s="40"/>
      <c r="I43" s="40"/>
      <c r="L43" s="119"/>
    </row>
    <row r="44" spans="1:12" ht="15">
      <c r="A44" s="34" t="s">
        <v>20</v>
      </c>
      <c r="B44" s="462" t="s">
        <v>755</v>
      </c>
      <c r="C44" s="489"/>
      <c r="D44" s="403" t="s">
        <v>164</v>
      </c>
      <c r="E44" s="403">
        <v>2</v>
      </c>
      <c r="F44" s="624">
        <v>19000</v>
      </c>
      <c r="G44" s="625"/>
      <c r="H44" s="40"/>
      <c r="I44" s="40"/>
      <c r="L44" s="119"/>
    </row>
    <row r="45" spans="1:12" ht="15">
      <c r="A45" s="34" t="s">
        <v>22</v>
      </c>
      <c r="B45" s="462" t="s">
        <v>756</v>
      </c>
      <c r="C45" s="489"/>
      <c r="D45" s="403" t="s">
        <v>216</v>
      </c>
      <c r="E45" s="403">
        <v>0.1</v>
      </c>
      <c r="F45" s="624">
        <v>14658.46</v>
      </c>
      <c r="G45" s="625"/>
      <c r="H45" s="40"/>
      <c r="I45" s="40"/>
      <c r="L45" s="119"/>
    </row>
    <row r="46" spans="1:12" ht="15">
      <c r="A46" s="34" t="s">
        <v>24</v>
      </c>
      <c r="B46" s="462" t="s">
        <v>757</v>
      </c>
      <c r="C46" s="489"/>
      <c r="D46" s="403" t="s">
        <v>758</v>
      </c>
      <c r="E46" s="403">
        <v>416.3</v>
      </c>
      <c r="F46" s="624">
        <v>321635</v>
      </c>
      <c r="G46" s="625"/>
      <c r="H46" s="40"/>
      <c r="I46" s="40"/>
      <c r="L46" s="119"/>
    </row>
    <row r="47" spans="1:12" ht="15">
      <c r="A47" s="34" t="s">
        <v>103</v>
      </c>
      <c r="B47" s="462" t="s">
        <v>759</v>
      </c>
      <c r="C47" s="489"/>
      <c r="D47" s="403" t="s">
        <v>164</v>
      </c>
      <c r="E47" s="403">
        <v>1</v>
      </c>
      <c r="F47" s="624">
        <v>3707.27</v>
      </c>
      <c r="G47" s="625"/>
      <c r="H47" s="40"/>
      <c r="I47" s="40"/>
      <c r="L47" s="119"/>
    </row>
    <row r="48" spans="1:12" ht="15">
      <c r="A48" s="34" t="s">
        <v>104</v>
      </c>
      <c r="B48" s="462" t="s">
        <v>760</v>
      </c>
      <c r="C48" s="489"/>
      <c r="D48" s="403" t="s">
        <v>164</v>
      </c>
      <c r="E48" s="405">
        <v>24</v>
      </c>
      <c r="F48" s="624">
        <v>43718.4</v>
      </c>
      <c r="G48" s="625"/>
      <c r="H48" s="40"/>
      <c r="I48" s="40"/>
      <c r="L48" s="119"/>
    </row>
    <row r="49" spans="1:12" ht="15">
      <c r="A49" s="34" t="s">
        <v>117</v>
      </c>
      <c r="B49" s="462" t="s">
        <v>761</v>
      </c>
      <c r="C49" s="489"/>
      <c r="D49" s="403"/>
      <c r="E49" s="405"/>
      <c r="F49" s="624">
        <v>122003</v>
      </c>
      <c r="G49" s="625"/>
      <c r="H49" s="40"/>
      <c r="I49" s="40"/>
      <c r="L49" s="119"/>
    </row>
    <row r="50" spans="1:12" ht="15">
      <c r="A50" s="34" t="s">
        <v>118</v>
      </c>
      <c r="B50" s="462" t="s">
        <v>762</v>
      </c>
      <c r="C50" s="489"/>
      <c r="D50" s="403" t="s">
        <v>164</v>
      </c>
      <c r="E50" s="403">
        <v>16</v>
      </c>
      <c r="F50" s="624">
        <v>52480</v>
      </c>
      <c r="G50" s="625"/>
      <c r="H50" s="40"/>
      <c r="I50" s="40"/>
      <c r="L50" s="119"/>
    </row>
    <row r="51" spans="1:12" ht="15">
      <c r="A51" s="34" t="s">
        <v>119</v>
      </c>
      <c r="B51" s="449" t="s">
        <v>814</v>
      </c>
      <c r="C51" s="451"/>
      <c r="D51" s="118" t="s">
        <v>391</v>
      </c>
      <c r="E51" s="118">
        <v>8</v>
      </c>
      <c r="F51" s="521">
        <v>22400</v>
      </c>
      <c r="G51" s="522"/>
      <c r="H51" s="40"/>
      <c r="I51" s="40"/>
      <c r="L51" s="119"/>
    </row>
    <row r="52" spans="1:12" ht="15">
      <c r="A52" s="34" t="s">
        <v>139</v>
      </c>
      <c r="B52" s="462"/>
      <c r="C52" s="489"/>
      <c r="D52" s="403"/>
      <c r="E52" s="403"/>
      <c r="F52" s="525"/>
      <c r="G52" s="526"/>
      <c r="H52" s="40"/>
      <c r="I52" s="40"/>
      <c r="L52" s="119"/>
    </row>
    <row r="53" spans="1:12" ht="15">
      <c r="A53" s="34" t="s">
        <v>141</v>
      </c>
      <c r="B53" s="511" t="s">
        <v>188</v>
      </c>
      <c r="C53" s="512"/>
      <c r="D53" s="118"/>
      <c r="E53" s="184"/>
      <c r="F53" s="521">
        <f>(E26)*1%</f>
        <v>5468.268000000001</v>
      </c>
      <c r="G53" s="522"/>
      <c r="H53" s="40"/>
      <c r="I53" s="40"/>
      <c r="L53" s="119"/>
    </row>
    <row r="54" spans="1:12" ht="15">
      <c r="A54" s="34" t="s">
        <v>257</v>
      </c>
      <c r="B54" s="452" t="s">
        <v>185</v>
      </c>
      <c r="C54" s="642"/>
      <c r="D54" s="123"/>
      <c r="E54" s="123"/>
      <c r="F54" s="495"/>
      <c r="G54" s="495"/>
      <c r="H54" s="40"/>
      <c r="I54" s="40"/>
      <c r="L54" s="119"/>
    </row>
    <row r="55" spans="1:12" ht="14.25">
      <c r="A55" s="41" t="s">
        <v>25</v>
      </c>
      <c r="B55" s="449" t="s">
        <v>185</v>
      </c>
      <c r="C55" s="451"/>
      <c r="D55" s="118"/>
      <c r="E55" s="184"/>
      <c r="F55" s="628">
        <f>SUM(F56:F56)</f>
        <v>336150</v>
      </c>
      <c r="G55" s="629"/>
      <c r="H55" s="40"/>
      <c r="I55" s="40"/>
      <c r="L55" s="119"/>
    </row>
    <row r="56" spans="1:12" ht="15">
      <c r="A56" s="34" t="s">
        <v>279</v>
      </c>
      <c r="B56" s="449"/>
      <c r="C56" s="451"/>
      <c r="D56" s="118"/>
      <c r="E56" s="184" t="s">
        <v>329</v>
      </c>
      <c r="F56" s="521">
        <f>20950+315200</f>
        <v>336150</v>
      </c>
      <c r="G56" s="522"/>
      <c r="H56" s="40"/>
      <c r="I56" s="40"/>
      <c r="L56" s="119"/>
    </row>
    <row r="57" spans="2:3" s="59" customFormat="1" ht="9" customHeight="1">
      <c r="B57" s="67"/>
      <c r="C57" s="125" t="s">
        <v>49</v>
      </c>
    </row>
    <row r="58" spans="1:11" s="59" customFormat="1" ht="15">
      <c r="A58" s="67" t="s">
        <v>55</v>
      </c>
      <c r="B58" s="67"/>
      <c r="C58" s="125"/>
      <c r="D58" s="67"/>
      <c r="E58" s="67"/>
      <c r="F58" s="67" t="s">
        <v>90</v>
      </c>
      <c r="G58" s="67"/>
      <c r="H58" s="67"/>
      <c r="I58" s="67"/>
      <c r="J58" s="67"/>
      <c r="K58" s="67"/>
    </row>
    <row r="59" spans="1:7" s="59" customFormat="1" ht="15">
      <c r="A59" s="67"/>
      <c r="B59" s="67"/>
      <c r="C59" s="125"/>
      <c r="D59" s="67"/>
      <c r="E59" s="67"/>
      <c r="F59" s="126" t="s">
        <v>545</v>
      </c>
      <c r="G59" s="67"/>
    </row>
    <row r="60" spans="1:10" s="59" customFormat="1" ht="15">
      <c r="A60" s="67" t="s">
        <v>50</v>
      </c>
      <c r="B60" s="67"/>
      <c r="C60" s="127" t="s">
        <v>51</v>
      </c>
      <c r="D60" s="67"/>
      <c r="E60" s="67"/>
      <c r="F60" s="67"/>
      <c r="G60" s="67"/>
      <c r="H60" s="156"/>
      <c r="I60" s="156"/>
      <c r="J60" s="156"/>
    </row>
    <row r="61" spans="1:11" ht="15">
      <c r="A61" s="67"/>
      <c r="B61" s="59"/>
      <c r="C61" s="59"/>
      <c r="D61" s="67"/>
      <c r="E61" s="128"/>
      <c r="F61" s="128"/>
      <c r="G61" s="128"/>
      <c r="H61" s="59"/>
      <c r="I61" s="59"/>
      <c r="J61" s="59"/>
      <c r="K61" s="59"/>
    </row>
    <row r="62" spans="1:11" ht="12.75">
      <c r="A62" s="59"/>
      <c r="D62" s="59"/>
      <c r="E62" s="59"/>
      <c r="F62" s="59"/>
      <c r="G62" s="59"/>
      <c r="H62" s="59"/>
      <c r="I62" s="59"/>
      <c r="J62" s="59"/>
      <c r="K62" s="59"/>
    </row>
  </sheetData>
  <sheetProtection/>
  <mergeCells count="44">
    <mergeCell ref="F52:G52"/>
    <mergeCell ref="B55:C55"/>
    <mergeCell ref="F55:G55"/>
    <mergeCell ref="B53:C53"/>
    <mergeCell ref="F54:G54"/>
    <mergeCell ref="B54:C54"/>
    <mergeCell ref="F56:G56"/>
    <mergeCell ref="B56:C56"/>
    <mergeCell ref="B51:C51"/>
    <mergeCell ref="F51:G51"/>
    <mergeCell ref="B48:C48"/>
    <mergeCell ref="F53:G53"/>
    <mergeCell ref="F49:G49"/>
    <mergeCell ref="B52:C52"/>
    <mergeCell ref="B49:C49"/>
    <mergeCell ref="B50:C50"/>
    <mergeCell ref="F40:G40"/>
    <mergeCell ref="B43:C43"/>
    <mergeCell ref="B44:C44"/>
    <mergeCell ref="B45:C45"/>
    <mergeCell ref="B46:C46"/>
    <mergeCell ref="F43:G43"/>
    <mergeCell ref="F44:G44"/>
    <mergeCell ref="F45:G45"/>
    <mergeCell ref="F47:G47"/>
    <mergeCell ref="F48:G48"/>
    <mergeCell ref="A38:G38"/>
    <mergeCell ref="A34:F34"/>
    <mergeCell ref="B41:C41"/>
    <mergeCell ref="F41:G41"/>
    <mergeCell ref="B42:C42"/>
    <mergeCell ref="F42:G42"/>
    <mergeCell ref="B47:C47"/>
    <mergeCell ref="B40:C40"/>
    <mergeCell ref="F50:G50"/>
    <mergeCell ref="A1:K1"/>
    <mergeCell ref="A2:K2"/>
    <mergeCell ref="A3:K3"/>
    <mergeCell ref="A5:K5"/>
    <mergeCell ref="A10:K10"/>
    <mergeCell ref="A11:K11"/>
    <mergeCell ref="F46:G46"/>
    <mergeCell ref="A12:K12"/>
    <mergeCell ref="A35:C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7030A0"/>
  </sheetPr>
  <dimension ref="A1:N50"/>
  <sheetViews>
    <sheetView zoomScalePageLayoutView="0" workbookViewId="0" topLeftCell="A34">
      <selection activeCell="F43" sqref="F43:G43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8" s="59" customFormat="1" ht="16.5" customHeight="1">
      <c r="A7" s="59" t="s">
        <v>2</v>
      </c>
      <c r="F7" s="60" t="s">
        <v>243</v>
      </c>
      <c r="H7" s="60"/>
    </row>
    <row r="8" spans="1:10" s="59" customFormat="1" ht="12.75">
      <c r="A8" s="59" t="s">
        <v>3</v>
      </c>
      <c r="F8" s="301" t="s">
        <v>480</v>
      </c>
      <c r="H8" s="303">
        <v>2507.4</v>
      </c>
      <c r="I8" s="304">
        <v>30.9</v>
      </c>
      <c r="J8" s="304">
        <f>H8+I8</f>
        <v>2538.3</v>
      </c>
    </row>
    <row r="9" spans="2:10" s="59" customFormat="1" ht="12.75">
      <c r="B9" s="59" t="s">
        <v>507</v>
      </c>
      <c r="F9" s="301" t="s">
        <v>764</v>
      </c>
      <c r="H9" s="433"/>
      <c r="I9" s="434"/>
      <c r="J9" s="434"/>
    </row>
    <row r="10" spans="1:11" s="59" customFormat="1" ht="12.75">
      <c r="A10" s="445"/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11" s="59" customFormat="1" ht="12.7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431</v>
      </c>
      <c r="B14" s="64"/>
      <c r="C14" s="64"/>
      <c r="D14" s="69"/>
      <c r="E14" s="70"/>
      <c r="F14" s="70"/>
      <c r="G14" s="65">
        <f>'[2]Суворова 153 к.5'!$G$34</f>
        <v>-92429.01289999997</v>
      </c>
      <c r="H14" s="62"/>
      <c r="I14" s="62"/>
    </row>
    <row r="15" s="59" customFormat="1" ht="6.75" customHeight="1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</row>
    <row r="17" spans="1:14" s="59" customFormat="1" ht="14.25">
      <c r="A17" s="75" t="s">
        <v>14</v>
      </c>
      <c r="B17" s="41" t="s">
        <v>15</v>
      </c>
      <c r="C17" s="97">
        <f>C18+C19+C20+C21</f>
        <v>9.879999999999999</v>
      </c>
      <c r="D17" s="76">
        <v>318860.51</v>
      </c>
      <c r="E17" s="76">
        <v>316894.28</v>
      </c>
      <c r="F17" s="76">
        <f aca="true" t="shared" si="0" ref="F17:F23">D17</f>
        <v>318860.51</v>
      </c>
      <c r="G17" s="77">
        <f>D17-E17</f>
        <v>1966.2299999999814</v>
      </c>
      <c r="H17" s="78">
        <f>C17</f>
        <v>9.879999999999999</v>
      </c>
      <c r="I17" s="79"/>
      <c r="J17" s="79"/>
      <c r="K17" s="79"/>
      <c r="M17" s="78"/>
      <c r="N17" s="80"/>
    </row>
    <row r="18" spans="1:9" s="59" customFormat="1" ht="15">
      <c r="A18" s="81" t="s">
        <v>16</v>
      </c>
      <c r="B18" s="34" t="s">
        <v>17</v>
      </c>
      <c r="C18" s="82">
        <v>3.46</v>
      </c>
      <c r="D18" s="83">
        <f>D17*I18</f>
        <v>111665.72516194334</v>
      </c>
      <c r="E18" s="83">
        <f>E17*I18</f>
        <v>110977.14663967614</v>
      </c>
      <c r="F18" s="83">
        <f t="shared" si="0"/>
        <v>111665.72516194334</v>
      </c>
      <c r="G18" s="84">
        <f>D18-E18</f>
        <v>688.5785222671984</v>
      </c>
      <c r="H18" s="78">
        <f>C18</f>
        <v>3.46</v>
      </c>
      <c r="I18" s="59">
        <f>H18/H17</f>
        <v>0.3502024291497976</v>
      </c>
    </row>
    <row r="19" spans="1:9" s="59" customFormat="1" ht="15">
      <c r="A19" s="81" t="s">
        <v>18</v>
      </c>
      <c r="B19" s="34" t="s">
        <v>19</v>
      </c>
      <c r="C19" s="82">
        <v>1.69</v>
      </c>
      <c r="D19" s="83">
        <f>D17*I19</f>
        <v>54541.929342105264</v>
      </c>
      <c r="E19" s="83">
        <f>E17*I19</f>
        <v>54205.60052631579</v>
      </c>
      <c r="F19" s="83">
        <f t="shared" si="0"/>
        <v>54541.929342105264</v>
      </c>
      <c r="G19" s="84">
        <f>D19-E19</f>
        <v>336.32881578947126</v>
      </c>
      <c r="H19" s="78">
        <f>C19</f>
        <v>1.69</v>
      </c>
      <c r="I19" s="59">
        <f>H19/H17</f>
        <v>0.17105263157894737</v>
      </c>
    </row>
    <row r="20" spans="1:9" s="59" customFormat="1" ht="15">
      <c r="A20" s="81" t="s">
        <v>20</v>
      </c>
      <c r="B20" s="34" t="s">
        <v>21</v>
      </c>
      <c r="C20" s="82">
        <v>1.69</v>
      </c>
      <c r="D20" s="83">
        <f>D17*I20</f>
        <v>54541.929342105264</v>
      </c>
      <c r="E20" s="83">
        <f>E17*I20</f>
        <v>54205.60052631579</v>
      </c>
      <c r="F20" s="83">
        <f t="shared" si="0"/>
        <v>54541.929342105264</v>
      </c>
      <c r="G20" s="84">
        <f>D20-E20</f>
        <v>336.32881578947126</v>
      </c>
      <c r="H20" s="78">
        <f>C20</f>
        <v>1.69</v>
      </c>
      <c r="I20" s="59">
        <f>H20/H17</f>
        <v>0.17105263157894737</v>
      </c>
    </row>
    <row r="21" spans="1:9" s="59" customFormat="1" ht="15">
      <c r="A21" s="81" t="s">
        <v>22</v>
      </c>
      <c r="B21" s="34" t="s">
        <v>23</v>
      </c>
      <c r="C21" s="82">
        <v>3.04</v>
      </c>
      <c r="D21" s="83">
        <f>D17*I21</f>
        <v>98110.92615384616</v>
      </c>
      <c r="E21" s="83">
        <f>E17*I21</f>
        <v>97505.93230769232</v>
      </c>
      <c r="F21" s="83">
        <f t="shared" si="0"/>
        <v>98110.92615384616</v>
      </c>
      <c r="G21" s="84">
        <f>D21-E21</f>
        <v>604.9938461538404</v>
      </c>
      <c r="H21" s="78">
        <f>C21</f>
        <v>3.04</v>
      </c>
      <c r="I21" s="59">
        <f>H21/H17</f>
        <v>0.3076923076923077</v>
      </c>
    </row>
    <row r="22" spans="1:11" s="89" customFormat="1" ht="14.25">
      <c r="A22" s="86" t="s">
        <v>25</v>
      </c>
      <c r="B22" s="86" t="s">
        <v>209</v>
      </c>
      <c r="C22" s="46">
        <v>0</v>
      </c>
      <c r="D22" s="87">
        <v>0</v>
      </c>
      <c r="E22" s="87">
        <v>0</v>
      </c>
      <c r="F22" s="87">
        <v>0</v>
      </c>
      <c r="G22" s="77">
        <f aca="true" t="shared" si="1" ref="G22:G31">D22-E22</f>
        <v>0</v>
      </c>
      <c r="H22" s="88"/>
      <c r="I22" s="88"/>
      <c r="J22" s="88"/>
      <c r="K22" s="88"/>
    </row>
    <row r="23" spans="1:11" s="89" customFormat="1" ht="14.25">
      <c r="A23" s="86" t="s">
        <v>27</v>
      </c>
      <c r="B23" s="86" t="s">
        <v>371</v>
      </c>
      <c r="C23" s="46" t="s">
        <v>805</v>
      </c>
      <c r="D23" s="87">
        <v>67500</v>
      </c>
      <c r="E23" s="87">
        <v>65425.23</v>
      </c>
      <c r="F23" s="87">
        <f t="shared" si="0"/>
        <v>67500</v>
      </c>
      <c r="G23" s="77">
        <f t="shared" si="1"/>
        <v>2074.769999999997</v>
      </c>
      <c r="H23" s="88"/>
      <c r="I23" s="88"/>
      <c r="J23" s="88"/>
      <c r="K23" s="88"/>
    </row>
    <row r="24" spans="1:11" s="89" customFormat="1" ht="14.25">
      <c r="A24" s="86" t="s">
        <v>29</v>
      </c>
      <c r="B24" s="86" t="s">
        <v>26</v>
      </c>
      <c r="C24" s="46">
        <v>0</v>
      </c>
      <c r="D24" s="87">
        <v>0</v>
      </c>
      <c r="E24" s="87">
        <v>0</v>
      </c>
      <c r="F24" s="87">
        <v>0</v>
      </c>
      <c r="G24" s="77">
        <f t="shared" si="1"/>
        <v>0</v>
      </c>
      <c r="H24" s="88"/>
      <c r="I24" s="88"/>
      <c r="J24" s="88"/>
      <c r="K24" s="88"/>
    </row>
    <row r="25" spans="1:11" s="89" customFormat="1" ht="14.25">
      <c r="A25" s="86" t="s">
        <v>31</v>
      </c>
      <c r="B25" s="86" t="s">
        <v>116</v>
      </c>
      <c r="C25" s="95">
        <v>1.86</v>
      </c>
      <c r="D25" s="87">
        <v>56655</v>
      </c>
      <c r="E25" s="87">
        <v>56328.37</v>
      </c>
      <c r="F25" s="87">
        <f>F39</f>
        <v>19044.2337</v>
      </c>
      <c r="G25" s="77">
        <f t="shared" si="1"/>
        <v>326.6299999999974</v>
      </c>
      <c r="H25" s="88"/>
      <c r="I25" s="88"/>
      <c r="J25" s="88"/>
      <c r="K25" s="88"/>
    </row>
    <row r="26" spans="1:11" ht="14.25">
      <c r="A26" s="41" t="s">
        <v>33</v>
      </c>
      <c r="B26" s="41" t="s">
        <v>161</v>
      </c>
      <c r="C26" s="97">
        <v>12.54</v>
      </c>
      <c r="D26" s="77">
        <v>0</v>
      </c>
      <c r="E26" s="77">
        <v>0</v>
      </c>
      <c r="F26" s="87">
        <f>D26</f>
        <v>0</v>
      </c>
      <c r="G26" s="77">
        <f t="shared" si="1"/>
        <v>0</v>
      </c>
      <c r="H26" s="98"/>
      <c r="I26" s="98"/>
      <c r="J26" s="98"/>
      <c r="K26" s="98"/>
    </row>
    <row r="27" spans="1:11" ht="14.25">
      <c r="A27" s="41" t="s">
        <v>35</v>
      </c>
      <c r="B27" s="41" t="s">
        <v>36</v>
      </c>
      <c r="C27" s="97"/>
      <c r="D27" s="77">
        <f>SUM(D28:D31)</f>
        <v>352923.7</v>
      </c>
      <c r="E27" s="77">
        <f>SUM(E28:E31)</f>
        <v>334557.66</v>
      </c>
      <c r="F27" s="77">
        <f>SUM(F28:F31)</f>
        <v>352923.7</v>
      </c>
      <c r="G27" s="77">
        <f t="shared" si="1"/>
        <v>18366.040000000037</v>
      </c>
      <c r="H27" s="98"/>
      <c r="I27" s="98"/>
      <c r="J27" s="98"/>
      <c r="K27" s="98"/>
    </row>
    <row r="28" spans="1:7" ht="15">
      <c r="A28" s="34" t="s">
        <v>37</v>
      </c>
      <c r="B28" s="34" t="s">
        <v>165</v>
      </c>
      <c r="C28" s="285">
        <v>6</v>
      </c>
      <c r="D28" s="84">
        <v>20729.18</v>
      </c>
      <c r="E28" s="84">
        <v>20427.31</v>
      </c>
      <c r="F28" s="84">
        <f>D28</f>
        <v>20729.18</v>
      </c>
      <c r="G28" s="84">
        <f t="shared" si="1"/>
        <v>301.869999999999</v>
      </c>
    </row>
    <row r="29" spans="1:7" ht="15">
      <c r="A29" s="34" t="s">
        <v>39</v>
      </c>
      <c r="B29" s="34" t="s">
        <v>137</v>
      </c>
      <c r="C29" s="285">
        <v>57.08</v>
      </c>
      <c r="D29" s="84">
        <v>332194.52</v>
      </c>
      <c r="E29" s="84">
        <v>314130.35</v>
      </c>
      <c r="F29" s="84">
        <f>D29</f>
        <v>332194.52</v>
      </c>
      <c r="G29" s="84">
        <f t="shared" si="1"/>
        <v>18064.170000000042</v>
      </c>
    </row>
    <row r="30" spans="1:7" ht="15">
      <c r="A30" s="34" t="s">
        <v>42</v>
      </c>
      <c r="B30" s="51" t="s">
        <v>138</v>
      </c>
      <c r="C30" s="143">
        <v>0</v>
      </c>
      <c r="D30" s="84">
        <v>0</v>
      </c>
      <c r="E30" s="84">
        <v>0</v>
      </c>
      <c r="F30" s="84">
        <v>0</v>
      </c>
      <c r="G30" s="84">
        <f t="shared" si="1"/>
        <v>0</v>
      </c>
    </row>
    <row r="31" spans="1:7" s="272" customFormat="1" ht="15">
      <c r="A31" s="267" t="s">
        <v>41</v>
      </c>
      <c r="B31" s="267" t="s">
        <v>43</v>
      </c>
      <c r="C31" s="143">
        <v>0</v>
      </c>
      <c r="D31" s="210">
        <v>0</v>
      </c>
      <c r="E31" s="210">
        <v>0</v>
      </c>
      <c r="F31" s="210">
        <f>D31</f>
        <v>0</v>
      </c>
      <c r="G31" s="84">
        <f t="shared" si="1"/>
        <v>0</v>
      </c>
    </row>
    <row r="32" spans="1:9" s="102" customFormat="1" ht="21.75" customHeight="1" thickBot="1">
      <c r="A32" s="446" t="s">
        <v>294</v>
      </c>
      <c r="B32" s="447"/>
      <c r="C32" s="447"/>
      <c r="D32" s="448"/>
      <c r="E32" s="448"/>
      <c r="F32" s="448"/>
      <c r="G32" s="101"/>
      <c r="H32" s="101"/>
      <c r="I32" s="101"/>
    </row>
    <row r="33" spans="1:9" s="67" customFormat="1" ht="15.75" thickBot="1">
      <c r="A33" s="455" t="s">
        <v>413</v>
      </c>
      <c r="B33" s="456"/>
      <c r="C33" s="456"/>
      <c r="D33" s="65">
        <v>179469.44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415</v>
      </c>
      <c r="B35" s="64"/>
      <c r="C35" s="64"/>
      <c r="D35" s="69"/>
      <c r="E35" s="70"/>
      <c r="F35" s="70"/>
      <c r="G35" s="144">
        <f>G14+E25-F25</f>
        <v>-55144.876599999974</v>
      </c>
      <c r="H35" s="62"/>
      <c r="I35" s="62"/>
    </row>
    <row r="36" spans="1:11" ht="31.5" customHeight="1">
      <c r="A36" s="538" t="s">
        <v>179</v>
      </c>
      <c r="B36" s="539"/>
      <c r="C36" s="539"/>
      <c r="D36" s="539"/>
      <c r="E36" s="539"/>
      <c r="F36" s="539"/>
      <c r="G36" s="539"/>
      <c r="H36" s="58"/>
      <c r="I36" s="58"/>
      <c r="J36" s="58"/>
      <c r="K36" s="58"/>
    </row>
    <row r="38" spans="1:12" s="74" customFormat="1" ht="37.5" customHeight="1">
      <c r="A38" s="105" t="s">
        <v>11</v>
      </c>
      <c r="B38" s="471" t="s">
        <v>45</v>
      </c>
      <c r="C38" s="484"/>
      <c r="D38" s="105" t="s">
        <v>163</v>
      </c>
      <c r="E38" s="105" t="s">
        <v>162</v>
      </c>
      <c r="F38" s="471" t="s">
        <v>46</v>
      </c>
      <c r="G38" s="484"/>
      <c r="H38" s="244"/>
      <c r="I38" s="245"/>
      <c r="L38" s="108"/>
    </row>
    <row r="39" spans="1:12" s="114" customFormat="1" ht="15" customHeight="1">
      <c r="A39" s="109" t="s">
        <v>47</v>
      </c>
      <c r="B39" s="473" t="s">
        <v>111</v>
      </c>
      <c r="C39" s="491"/>
      <c r="D39" s="110"/>
      <c r="E39" s="110"/>
      <c r="F39" s="496">
        <f>SUM(F40:G44)</f>
        <v>19044.2337</v>
      </c>
      <c r="G39" s="483"/>
      <c r="H39" s="246"/>
      <c r="I39" s="247"/>
      <c r="L39" s="115"/>
    </row>
    <row r="40" spans="1:12" ht="24" customHeight="1">
      <c r="A40" s="34" t="s">
        <v>16</v>
      </c>
      <c r="B40" s="462" t="s">
        <v>552</v>
      </c>
      <c r="C40" s="489"/>
      <c r="D40" s="403" t="s">
        <v>217</v>
      </c>
      <c r="E40" s="340">
        <v>0.01</v>
      </c>
      <c r="F40" s="525">
        <v>2179.46</v>
      </c>
      <c r="G40" s="526"/>
      <c r="H40" s="248"/>
      <c r="I40" s="249"/>
      <c r="L40" s="119"/>
    </row>
    <row r="41" spans="1:12" ht="15">
      <c r="A41" s="34" t="s">
        <v>18</v>
      </c>
      <c r="B41" s="462" t="s">
        <v>765</v>
      </c>
      <c r="C41" s="489"/>
      <c r="D41" s="403" t="s">
        <v>164</v>
      </c>
      <c r="E41" s="340">
        <v>1</v>
      </c>
      <c r="F41" s="525">
        <v>5101.49</v>
      </c>
      <c r="G41" s="526"/>
      <c r="H41" s="40"/>
      <c r="I41" s="40"/>
      <c r="L41" s="119"/>
    </row>
    <row r="42" spans="1:12" ht="15">
      <c r="A42" s="34" t="s">
        <v>20</v>
      </c>
      <c r="B42" s="449" t="s">
        <v>814</v>
      </c>
      <c r="C42" s="451"/>
      <c r="D42" s="118" t="s">
        <v>391</v>
      </c>
      <c r="E42" s="184">
        <v>4</v>
      </c>
      <c r="F42" s="521">
        <v>11200</v>
      </c>
      <c r="G42" s="522"/>
      <c r="H42" s="40"/>
      <c r="I42" s="40"/>
      <c r="L42" s="119"/>
    </row>
    <row r="43" spans="1:12" ht="15">
      <c r="A43" s="34" t="s">
        <v>22</v>
      </c>
      <c r="B43" s="462"/>
      <c r="C43" s="489"/>
      <c r="D43" s="403"/>
      <c r="E43" s="340"/>
      <c r="F43" s="525"/>
      <c r="G43" s="526"/>
      <c r="H43" s="40"/>
      <c r="I43" s="40"/>
      <c r="L43" s="119"/>
    </row>
    <row r="44" spans="1:11" s="67" customFormat="1" ht="15">
      <c r="A44" s="34" t="s">
        <v>24</v>
      </c>
      <c r="B44" s="511" t="s">
        <v>188</v>
      </c>
      <c r="C44" s="512"/>
      <c r="D44" s="123"/>
      <c r="E44" s="123"/>
      <c r="F44" s="495">
        <f>E25*1%</f>
        <v>563.2837000000001</v>
      </c>
      <c r="G44" s="495"/>
      <c r="H44" s="59"/>
      <c r="I44" s="59"/>
      <c r="J44" s="59"/>
      <c r="K44" s="59"/>
    </row>
    <row r="45" s="59" customFormat="1" ht="9" customHeight="1"/>
    <row r="46" spans="1:11" s="59" customFormat="1" ht="15">
      <c r="A46" s="67" t="s">
        <v>55</v>
      </c>
      <c r="B46" s="67"/>
      <c r="C46" s="125" t="s">
        <v>49</v>
      </c>
      <c r="D46" s="67"/>
      <c r="E46" s="67"/>
      <c r="F46" s="67" t="s">
        <v>90</v>
      </c>
      <c r="G46" s="67"/>
      <c r="H46" s="67"/>
      <c r="I46" s="67"/>
      <c r="J46" s="67"/>
      <c r="K46" s="67"/>
    </row>
    <row r="47" spans="1:7" s="59" customFormat="1" ht="15">
      <c r="A47" s="67"/>
      <c r="B47" s="67"/>
      <c r="C47" s="125"/>
      <c r="D47" s="67"/>
      <c r="E47" s="67"/>
      <c r="F47" s="126" t="s">
        <v>545</v>
      </c>
      <c r="G47" s="67"/>
    </row>
    <row r="48" spans="1:10" s="59" customFormat="1" ht="15">
      <c r="A48" s="67" t="s">
        <v>50</v>
      </c>
      <c r="B48" s="67"/>
      <c r="C48" s="125"/>
      <c r="D48" s="67"/>
      <c r="E48" s="67"/>
      <c r="F48" s="67"/>
      <c r="G48" s="67"/>
      <c r="H48" s="156"/>
      <c r="I48" s="156"/>
      <c r="J48" s="156"/>
    </row>
    <row r="49" spans="1:11" ht="15">
      <c r="A49" s="67"/>
      <c r="B49" s="67"/>
      <c r="C49" s="127" t="s">
        <v>51</v>
      </c>
      <c r="D49" s="67"/>
      <c r="E49" s="128"/>
      <c r="F49" s="128"/>
      <c r="G49" s="128"/>
      <c r="H49" s="59"/>
      <c r="I49" s="59"/>
      <c r="J49" s="59"/>
      <c r="K49" s="59"/>
    </row>
    <row r="50" spans="1:11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</row>
  </sheetData>
  <sheetProtection/>
  <mergeCells count="24">
    <mergeCell ref="B44:C44"/>
    <mergeCell ref="F44:G44"/>
    <mergeCell ref="B39:C39"/>
    <mergeCell ref="F39:G39"/>
    <mergeCell ref="B40:C40"/>
    <mergeCell ref="F40:G40"/>
    <mergeCell ref="B42:C42"/>
    <mergeCell ref="B43:C43"/>
    <mergeCell ref="F42:G42"/>
    <mergeCell ref="F43:G43"/>
    <mergeCell ref="B41:C41"/>
    <mergeCell ref="F41:G41"/>
    <mergeCell ref="A12:K12"/>
    <mergeCell ref="A33:C33"/>
    <mergeCell ref="B38:C38"/>
    <mergeCell ref="F38:G38"/>
    <mergeCell ref="A36:G36"/>
    <mergeCell ref="A32:F32"/>
    <mergeCell ref="A1:K1"/>
    <mergeCell ref="A2:K2"/>
    <mergeCell ref="A3:K3"/>
    <mergeCell ref="A5:K5"/>
    <mergeCell ref="A10:K10"/>
    <mergeCell ref="A11:K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7030A0"/>
  </sheetPr>
  <dimension ref="A1:N55"/>
  <sheetViews>
    <sheetView zoomScalePageLayoutView="0" workbookViewId="0" topLeftCell="A42">
      <selection activeCell="F49" sqref="F49:G49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3.14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7" spans="1:8" s="59" customFormat="1" ht="16.5" customHeight="1">
      <c r="A7" s="59" t="s">
        <v>2</v>
      </c>
      <c r="F7" s="60" t="s">
        <v>268</v>
      </c>
      <c r="H7" s="60"/>
    </row>
    <row r="8" spans="1:8" s="59" customFormat="1" ht="12.75">
      <c r="A8" s="59" t="s">
        <v>3</v>
      </c>
      <c r="F8" s="301" t="s">
        <v>269</v>
      </c>
      <c r="H8" s="273">
        <v>178.4</v>
      </c>
    </row>
    <row r="9" spans="2:8" s="59" customFormat="1" ht="12.75">
      <c r="B9" s="59" t="s">
        <v>507</v>
      </c>
      <c r="F9" s="301" t="s">
        <v>766</v>
      </c>
      <c r="H9" s="242"/>
    </row>
    <row r="10" spans="1:11" s="59" customFormat="1" ht="12.7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</row>
    <row r="11" spans="1:11" s="59" customFormat="1" ht="12.7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</row>
    <row r="12" spans="1:11" s="59" customFormat="1" ht="12.7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489</v>
      </c>
      <c r="B14" s="64"/>
      <c r="C14" s="64"/>
      <c r="D14" s="69"/>
      <c r="E14" s="70"/>
      <c r="F14" s="70"/>
      <c r="G14" s="305">
        <f>'[2]Кооперативная1дробь2'!$G$34</f>
        <v>317845.0846</v>
      </c>
      <c r="H14" s="62"/>
      <c r="I14" s="62"/>
    </row>
    <row r="15" s="59" customFormat="1" ht="6.75" customHeight="1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</row>
    <row r="17" spans="1:14" s="59" customFormat="1" ht="14.25">
      <c r="A17" s="75" t="s">
        <v>14</v>
      </c>
      <c r="B17" s="41" t="s">
        <v>15</v>
      </c>
      <c r="C17" s="97">
        <f>C18+C19+C20+C21</f>
        <v>10.34</v>
      </c>
      <c r="D17" s="76">
        <v>954789.67</v>
      </c>
      <c r="E17" s="76">
        <v>935345.57</v>
      </c>
      <c r="F17" s="76">
        <f>D17</f>
        <v>954789.67</v>
      </c>
      <c r="G17" s="77">
        <f aca="true" t="shared" si="0" ref="G17:G22">D17-E17</f>
        <v>19444.100000000093</v>
      </c>
      <c r="H17" s="78">
        <f>C17</f>
        <v>10.34</v>
      </c>
      <c r="I17" s="79"/>
      <c r="J17" s="79"/>
      <c r="K17" s="79"/>
      <c r="M17" s="78"/>
      <c r="N17" s="80"/>
    </row>
    <row r="18" spans="1:9" s="59" customFormat="1" ht="15">
      <c r="A18" s="81" t="s">
        <v>16</v>
      </c>
      <c r="B18" s="34" t="s">
        <v>17</v>
      </c>
      <c r="C18" s="82">
        <v>3.46</v>
      </c>
      <c r="D18" s="83">
        <f>D17*I18</f>
        <v>319494.4156866538</v>
      </c>
      <c r="E18" s="83">
        <f>E17*I18</f>
        <v>312987.97603481624</v>
      </c>
      <c r="F18" s="83">
        <f aca="true" t="shared" si="1" ref="F18:F23">D18</f>
        <v>319494.4156866538</v>
      </c>
      <c r="G18" s="84">
        <f t="shared" si="0"/>
        <v>6506.4396518375725</v>
      </c>
      <c r="H18" s="78">
        <f>C18</f>
        <v>3.46</v>
      </c>
      <c r="I18" s="59">
        <f>H18/H17</f>
        <v>0.33462282398452614</v>
      </c>
    </row>
    <row r="19" spans="1:9" s="59" customFormat="1" ht="15">
      <c r="A19" s="81" t="s">
        <v>18</v>
      </c>
      <c r="B19" s="34" t="s">
        <v>19</v>
      </c>
      <c r="C19" s="82">
        <v>1.69</v>
      </c>
      <c r="D19" s="83">
        <f>D17*I19</f>
        <v>156053.63078336557</v>
      </c>
      <c r="E19" s="83">
        <f>E17*I19</f>
        <v>152875.62991295935</v>
      </c>
      <c r="F19" s="83">
        <f t="shared" si="1"/>
        <v>156053.63078336557</v>
      </c>
      <c r="G19" s="84">
        <f t="shared" si="0"/>
        <v>3178.00087040622</v>
      </c>
      <c r="H19" s="78">
        <f>C19</f>
        <v>1.69</v>
      </c>
      <c r="I19" s="59">
        <f>H19/H17</f>
        <v>0.1634429400386847</v>
      </c>
    </row>
    <row r="20" spans="1:9" s="59" customFormat="1" ht="15">
      <c r="A20" s="81" t="s">
        <v>20</v>
      </c>
      <c r="B20" s="34" t="s">
        <v>21</v>
      </c>
      <c r="C20" s="82">
        <v>2.15</v>
      </c>
      <c r="D20" s="83">
        <f>D17*I20</f>
        <v>198529.7669729207</v>
      </c>
      <c r="E20" s="83">
        <f>E17*I20</f>
        <v>194486.74811411992</v>
      </c>
      <c r="F20" s="83">
        <f t="shared" si="1"/>
        <v>198529.7669729207</v>
      </c>
      <c r="G20" s="84">
        <f t="shared" si="0"/>
        <v>4043.0188588007877</v>
      </c>
      <c r="H20" s="78">
        <f>C20</f>
        <v>2.15</v>
      </c>
      <c r="I20" s="59">
        <f>H20/H17</f>
        <v>0.2079303675048356</v>
      </c>
    </row>
    <row r="21" spans="1:9" s="59" customFormat="1" ht="15">
      <c r="A21" s="81" t="s">
        <v>22</v>
      </c>
      <c r="B21" s="34" t="s">
        <v>23</v>
      </c>
      <c r="C21" s="82">
        <v>3.04</v>
      </c>
      <c r="D21" s="83">
        <f>D17*I21</f>
        <v>280711.85655706</v>
      </c>
      <c r="E21" s="83">
        <f>E17*I21</f>
        <v>274995.21593810443</v>
      </c>
      <c r="F21" s="83">
        <f t="shared" si="1"/>
        <v>280711.85655706</v>
      </c>
      <c r="G21" s="84">
        <f t="shared" si="0"/>
        <v>5716.640618955542</v>
      </c>
      <c r="H21" s="78">
        <f>C21</f>
        <v>3.04</v>
      </c>
      <c r="I21" s="59">
        <f>H21/H17</f>
        <v>0.2940038684719536</v>
      </c>
    </row>
    <row r="22" spans="1:11" s="89" customFormat="1" ht="15">
      <c r="A22" s="86" t="s">
        <v>25</v>
      </c>
      <c r="B22" s="86" t="s">
        <v>209</v>
      </c>
      <c r="C22" s="46">
        <v>0</v>
      </c>
      <c r="D22" s="87">
        <v>0</v>
      </c>
      <c r="E22" s="87">
        <v>0</v>
      </c>
      <c r="F22" s="87">
        <v>0</v>
      </c>
      <c r="G22" s="84">
        <f t="shared" si="0"/>
        <v>0</v>
      </c>
      <c r="H22" s="88"/>
      <c r="I22" s="88"/>
      <c r="J22" s="88"/>
      <c r="K22" s="88"/>
    </row>
    <row r="23" spans="1:11" s="89" customFormat="1" ht="14.25">
      <c r="A23" s="86" t="s">
        <v>27</v>
      </c>
      <c r="B23" s="86" t="s">
        <v>270</v>
      </c>
      <c r="C23" s="46">
        <v>2.2</v>
      </c>
      <c r="D23" s="87">
        <v>200167.44</v>
      </c>
      <c r="E23" s="87">
        <v>196369.62</v>
      </c>
      <c r="F23" s="87">
        <f t="shared" si="1"/>
        <v>200167.44</v>
      </c>
      <c r="G23" s="77">
        <f aca="true" t="shared" si="2" ref="G23:G31">D23-E23</f>
        <v>3797.820000000007</v>
      </c>
      <c r="H23" s="88"/>
      <c r="I23" s="88"/>
      <c r="J23" s="88"/>
      <c r="K23" s="88"/>
    </row>
    <row r="24" spans="1:11" s="89" customFormat="1" ht="14.25">
      <c r="A24" s="86" t="s">
        <v>29</v>
      </c>
      <c r="B24" s="86" t="s">
        <v>26</v>
      </c>
      <c r="C24" s="46">
        <v>3.86</v>
      </c>
      <c r="D24" s="87">
        <v>351202.92</v>
      </c>
      <c r="E24" s="87">
        <v>344532.87</v>
      </c>
      <c r="F24" s="87">
        <v>0</v>
      </c>
      <c r="G24" s="77">
        <f t="shared" si="2"/>
        <v>6670.049999999988</v>
      </c>
      <c r="H24" s="88"/>
      <c r="I24" s="88"/>
      <c r="J24" s="88"/>
      <c r="K24" s="88"/>
    </row>
    <row r="25" spans="1:11" s="89" customFormat="1" ht="14.25">
      <c r="A25" s="86" t="s">
        <v>31</v>
      </c>
      <c r="B25" s="86" t="s">
        <v>116</v>
      </c>
      <c r="C25" s="95">
        <v>2.06</v>
      </c>
      <c r="D25" s="87">
        <v>187429.56</v>
      </c>
      <c r="E25" s="87">
        <v>183870.12</v>
      </c>
      <c r="F25" s="87">
        <f>F39</f>
        <v>133220.90120000002</v>
      </c>
      <c r="G25" s="77">
        <f t="shared" si="2"/>
        <v>3559.4400000000023</v>
      </c>
      <c r="H25" s="88"/>
      <c r="I25" s="88"/>
      <c r="J25" s="88"/>
      <c r="K25" s="88"/>
    </row>
    <row r="26" spans="1:11" ht="25.5">
      <c r="A26" s="41" t="s">
        <v>33</v>
      </c>
      <c r="B26" s="41" t="s">
        <v>161</v>
      </c>
      <c r="C26" s="97" t="s">
        <v>316</v>
      </c>
      <c r="D26" s="77">
        <v>0</v>
      </c>
      <c r="E26" s="77">
        <v>0</v>
      </c>
      <c r="F26" s="87">
        <f>D26</f>
        <v>0</v>
      </c>
      <c r="G26" s="77">
        <f t="shared" si="2"/>
        <v>0</v>
      </c>
      <c r="H26" s="98"/>
      <c r="I26" s="98"/>
      <c r="J26" s="98"/>
      <c r="K26" s="98"/>
    </row>
    <row r="27" spans="1:11" ht="14.25">
      <c r="A27" s="41" t="s">
        <v>35</v>
      </c>
      <c r="B27" s="41" t="s">
        <v>36</v>
      </c>
      <c r="C27" s="97"/>
      <c r="D27" s="77">
        <f>SUM(D28:D31)</f>
        <v>4839386.65</v>
      </c>
      <c r="E27" s="77">
        <f>SUM(E28:E31)</f>
        <v>4722947.63</v>
      </c>
      <c r="F27" s="77">
        <f>SUM(F28:F31)</f>
        <v>4839386.65</v>
      </c>
      <c r="G27" s="77">
        <f t="shared" si="2"/>
        <v>116439.02000000048</v>
      </c>
      <c r="H27" s="98"/>
      <c r="I27" s="98"/>
      <c r="J27" s="98"/>
      <c r="K27" s="98"/>
    </row>
    <row r="28" spans="1:7" ht="15">
      <c r="A28" s="34" t="s">
        <v>37</v>
      </c>
      <c r="B28" s="34" t="s">
        <v>240</v>
      </c>
      <c r="C28" s="285">
        <v>6</v>
      </c>
      <c r="D28" s="84">
        <v>1191671.69</v>
      </c>
      <c r="E28" s="84">
        <v>1169164.71</v>
      </c>
      <c r="F28" s="84">
        <f>D28</f>
        <v>1191671.69</v>
      </c>
      <c r="G28" s="84">
        <f t="shared" si="2"/>
        <v>22506.97999999998</v>
      </c>
    </row>
    <row r="29" spans="1:7" ht="15">
      <c r="A29" s="34" t="s">
        <v>39</v>
      </c>
      <c r="B29" s="34" t="s">
        <v>137</v>
      </c>
      <c r="C29" s="285">
        <v>57.08</v>
      </c>
      <c r="D29" s="84">
        <v>569197.39</v>
      </c>
      <c r="E29" s="84">
        <v>545887.85</v>
      </c>
      <c r="F29" s="84">
        <f>D29</f>
        <v>569197.39</v>
      </c>
      <c r="G29" s="84">
        <f t="shared" si="2"/>
        <v>23309.540000000037</v>
      </c>
    </row>
    <row r="30" spans="1:7" ht="15">
      <c r="A30" s="34" t="s">
        <v>42</v>
      </c>
      <c r="B30" s="51" t="s">
        <v>340</v>
      </c>
      <c r="C30" s="286">
        <v>198.45</v>
      </c>
      <c r="D30" s="84">
        <v>809279.1</v>
      </c>
      <c r="E30" s="84">
        <v>774777.94</v>
      </c>
      <c r="F30" s="84">
        <f>D30</f>
        <v>809279.1</v>
      </c>
      <c r="G30" s="84">
        <f t="shared" si="2"/>
        <v>34501.16000000003</v>
      </c>
    </row>
    <row r="31" spans="1:7" s="272" customFormat="1" ht="15">
      <c r="A31" s="267" t="s">
        <v>41</v>
      </c>
      <c r="B31" s="267" t="s">
        <v>43</v>
      </c>
      <c r="C31" s="286">
        <v>2638.8</v>
      </c>
      <c r="D31" s="210">
        <v>2269238.47</v>
      </c>
      <c r="E31" s="210">
        <v>2233117.13</v>
      </c>
      <c r="F31" s="210">
        <f>D31</f>
        <v>2269238.47</v>
      </c>
      <c r="G31" s="84">
        <f t="shared" si="2"/>
        <v>36121.34000000032</v>
      </c>
    </row>
    <row r="32" spans="1:9" s="102" customFormat="1" ht="16.5" customHeight="1" thickBot="1">
      <c r="A32" s="446" t="s">
        <v>294</v>
      </c>
      <c r="B32" s="447"/>
      <c r="C32" s="447"/>
      <c r="D32" s="448"/>
      <c r="E32" s="448"/>
      <c r="F32" s="448"/>
      <c r="G32" s="101"/>
      <c r="H32" s="101"/>
      <c r="I32" s="101"/>
    </row>
    <row r="33" spans="1:9" s="67" customFormat="1" ht="15.75" thickBot="1">
      <c r="A33" s="455" t="s">
        <v>413</v>
      </c>
      <c r="B33" s="456"/>
      <c r="C33" s="456"/>
      <c r="D33" s="305">
        <v>1436439.86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415</v>
      </c>
      <c r="B35" s="64"/>
      <c r="C35" s="64"/>
      <c r="D35" s="69"/>
      <c r="E35" s="70"/>
      <c r="F35" s="70"/>
      <c r="G35" s="306">
        <f>G14+E25-F25</f>
        <v>368494.3034</v>
      </c>
      <c r="H35" s="62"/>
      <c r="I35" s="62"/>
    </row>
    <row r="36" spans="1:11" ht="31.5" customHeight="1">
      <c r="A36" s="616" t="s">
        <v>179</v>
      </c>
      <c r="B36" s="617"/>
      <c r="C36" s="617"/>
      <c r="D36" s="617"/>
      <c r="E36" s="617"/>
      <c r="F36" s="617"/>
      <c r="G36" s="617"/>
      <c r="H36" s="58"/>
      <c r="I36" s="58"/>
      <c r="J36" s="58"/>
      <c r="K36" s="58"/>
    </row>
    <row r="38" spans="1:12" s="74" customFormat="1" ht="37.5" customHeight="1">
      <c r="A38" s="105" t="s">
        <v>11</v>
      </c>
      <c r="B38" s="471" t="s">
        <v>45</v>
      </c>
      <c r="C38" s="484"/>
      <c r="D38" s="105" t="s">
        <v>163</v>
      </c>
      <c r="E38" s="105" t="s">
        <v>162</v>
      </c>
      <c r="F38" s="471" t="s">
        <v>46</v>
      </c>
      <c r="G38" s="484"/>
      <c r="H38" s="244"/>
      <c r="I38" s="245"/>
      <c r="L38" s="108"/>
    </row>
    <row r="39" spans="1:12" s="114" customFormat="1" ht="15" customHeight="1">
      <c r="A39" s="109" t="s">
        <v>47</v>
      </c>
      <c r="B39" s="473" t="s">
        <v>111</v>
      </c>
      <c r="C39" s="491"/>
      <c r="D39" s="110"/>
      <c r="E39" s="110"/>
      <c r="F39" s="496">
        <f>SUM(F40:G49)</f>
        <v>133220.90120000002</v>
      </c>
      <c r="G39" s="483"/>
      <c r="H39" s="246"/>
      <c r="I39" s="247"/>
      <c r="L39" s="115"/>
    </row>
    <row r="40" spans="1:12" s="114" customFormat="1" ht="15" customHeight="1">
      <c r="A40" s="81" t="s">
        <v>16</v>
      </c>
      <c r="B40" s="540" t="s">
        <v>767</v>
      </c>
      <c r="C40" s="498"/>
      <c r="D40" s="404" t="s">
        <v>164</v>
      </c>
      <c r="E40" s="404">
        <v>1</v>
      </c>
      <c r="F40" s="497">
        <v>46320</v>
      </c>
      <c r="G40" s="497"/>
      <c r="H40" s="112"/>
      <c r="I40" s="113"/>
      <c r="L40" s="115"/>
    </row>
    <row r="41" spans="1:12" s="114" customFormat="1" ht="15" customHeight="1">
      <c r="A41" s="81" t="s">
        <v>18</v>
      </c>
      <c r="B41" s="540" t="s">
        <v>768</v>
      </c>
      <c r="C41" s="498"/>
      <c r="D41" s="404" t="s">
        <v>164</v>
      </c>
      <c r="E41" s="404">
        <v>1</v>
      </c>
      <c r="F41" s="497">
        <v>16802</v>
      </c>
      <c r="G41" s="497"/>
      <c r="H41" s="112"/>
      <c r="I41" s="113"/>
      <c r="L41" s="115"/>
    </row>
    <row r="42" spans="1:12" s="114" customFormat="1" ht="15" customHeight="1">
      <c r="A42" s="81" t="s">
        <v>20</v>
      </c>
      <c r="B42" s="540" t="s">
        <v>601</v>
      </c>
      <c r="C42" s="498"/>
      <c r="D42" s="404" t="s">
        <v>164</v>
      </c>
      <c r="E42" s="404">
        <v>3</v>
      </c>
      <c r="F42" s="497">
        <v>18004.26</v>
      </c>
      <c r="G42" s="497"/>
      <c r="H42" s="112"/>
      <c r="I42" s="113"/>
      <c r="L42" s="115"/>
    </row>
    <row r="43" spans="1:12" s="114" customFormat="1" ht="27.75" customHeight="1">
      <c r="A43" s="34" t="s">
        <v>22</v>
      </c>
      <c r="B43" s="540" t="s">
        <v>769</v>
      </c>
      <c r="C43" s="498"/>
      <c r="D43" s="404"/>
      <c r="E43" s="404" t="s">
        <v>221</v>
      </c>
      <c r="F43" s="497">
        <v>1890</v>
      </c>
      <c r="G43" s="497"/>
      <c r="H43" s="112"/>
      <c r="I43" s="113"/>
      <c r="L43" s="115"/>
    </row>
    <row r="44" spans="1:12" s="114" customFormat="1" ht="15" customHeight="1">
      <c r="A44" s="81" t="s">
        <v>24</v>
      </c>
      <c r="B44" s="540" t="s">
        <v>824</v>
      </c>
      <c r="C44" s="498"/>
      <c r="D44" s="404"/>
      <c r="E44" s="404"/>
      <c r="F44" s="497">
        <v>1380</v>
      </c>
      <c r="G44" s="497"/>
      <c r="H44" s="112"/>
      <c r="I44" s="113"/>
      <c r="L44" s="115"/>
    </row>
    <row r="45" spans="1:12" s="114" customFormat="1" ht="15" customHeight="1">
      <c r="A45" s="34" t="s">
        <v>103</v>
      </c>
      <c r="B45" s="540" t="s">
        <v>392</v>
      </c>
      <c r="C45" s="498"/>
      <c r="D45" s="404"/>
      <c r="E45" s="404"/>
      <c r="F45" s="497">
        <v>7000</v>
      </c>
      <c r="G45" s="497"/>
      <c r="H45" s="112"/>
      <c r="I45" s="113"/>
      <c r="L45" s="115"/>
    </row>
    <row r="46" spans="1:12" s="114" customFormat="1" ht="15" customHeight="1">
      <c r="A46" s="81" t="s">
        <v>104</v>
      </c>
      <c r="B46" s="540" t="s">
        <v>770</v>
      </c>
      <c r="C46" s="498"/>
      <c r="D46" s="404" t="s">
        <v>164</v>
      </c>
      <c r="E46" s="404"/>
      <c r="F46" s="497">
        <v>15885.94</v>
      </c>
      <c r="G46" s="497"/>
      <c r="H46" s="112"/>
      <c r="I46" s="113"/>
      <c r="L46" s="115"/>
    </row>
    <row r="47" spans="1:12" s="114" customFormat="1" ht="15" customHeight="1">
      <c r="A47" s="34" t="s">
        <v>117</v>
      </c>
      <c r="B47" s="540" t="s">
        <v>825</v>
      </c>
      <c r="C47" s="498"/>
      <c r="D47" s="404" t="s">
        <v>164</v>
      </c>
      <c r="E47" s="404">
        <v>1</v>
      </c>
      <c r="F47" s="497">
        <v>7300</v>
      </c>
      <c r="G47" s="497"/>
      <c r="H47" s="112"/>
      <c r="I47" s="113"/>
      <c r="L47" s="115"/>
    </row>
    <row r="48" spans="1:12" s="114" customFormat="1" ht="15" customHeight="1">
      <c r="A48" s="34" t="s">
        <v>118</v>
      </c>
      <c r="B48" s="660" t="s">
        <v>814</v>
      </c>
      <c r="C48" s="641"/>
      <c r="D48" s="194" t="s">
        <v>391</v>
      </c>
      <c r="E48" s="194">
        <v>6</v>
      </c>
      <c r="F48" s="495">
        <v>16800</v>
      </c>
      <c r="G48" s="495"/>
      <c r="H48" s="112"/>
      <c r="I48" s="113"/>
      <c r="L48" s="115"/>
    </row>
    <row r="49" spans="1:11" s="67" customFormat="1" ht="15">
      <c r="A49" s="34" t="s">
        <v>119</v>
      </c>
      <c r="B49" s="511" t="s">
        <v>188</v>
      </c>
      <c r="C49" s="512"/>
      <c r="D49" s="123"/>
      <c r="E49" s="123"/>
      <c r="F49" s="495">
        <f>E25*1%</f>
        <v>1838.7012</v>
      </c>
      <c r="G49" s="495"/>
      <c r="H49" s="59"/>
      <c r="I49" s="59"/>
      <c r="J49" s="59"/>
      <c r="K49" s="59"/>
    </row>
    <row r="50" s="59" customFormat="1" ht="9" customHeight="1"/>
    <row r="51" spans="1:11" s="59" customFormat="1" ht="15">
      <c r="A51" s="67" t="s">
        <v>55</v>
      </c>
      <c r="B51" s="67"/>
      <c r="C51" s="125" t="s">
        <v>49</v>
      </c>
      <c r="D51" s="67"/>
      <c r="E51" s="67"/>
      <c r="F51" s="67" t="s">
        <v>90</v>
      </c>
      <c r="G51" s="67"/>
      <c r="H51" s="67"/>
      <c r="I51" s="67"/>
      <c r="J51" s="67"/>
      <c r="K51" s="67"/>
    </row>
    <row r="52" spans="1:7" s="59" customFormat="1" ht="15">
      <c r="A52" s="67"/>
      <c r="B52" s="67"/>
      <c r="C52" s="125"/>
      <c r="D52" s="67"/>
      <c r="E52" s="67"/>
      <c r="F52" s="126" t="s">
        <v>545</v>
      </c>
      <c r="G52" s="67"/>
    </row>
    <row r="53" spans="1:10" s="59" customFormat="1" ht="15">
      <c r="A53" s="67" t="s">
        <v>50</v>
      </c>
      <c r="B53" s="67"/>
      <c r="C53" s="125"/>
      <c r="D53" s="67"/>
      <c r="E53" s="67"/>
      <c r="F53" s="67"/>
      <c r="G53" s="67"/>
      <c r="H53" s="156"/>
      <c r="I53" s="156"/>
      <c r="J53" s="156"/>
    </row>
    <row r="54" spans="1:11" ht="15">
      <c r="A54" s="67"/>
      <c r="B54" s="67"/>
      <c r="C54" s="127" t="s">
        <v>51</v>
      </c>
      <c r="D54" s="67"/>
      <c r="E54" s="128"/>
      <c r="F54" s="128"/>
      <c r="G54" s="128"/>
      <c r="H54" s="59"/>
      <c r="I54" s="59"/>
      <c r="J54" s="59"/>
      <c r="K54" s="59"/>
    </row>
    <row r="55" spans="1:11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</row>
  </sheetData>
  <sheetProtection/>
  <mergeCells count="34">
    <mergeCell ref="F47:G47"/>
    <mergeCell ref="F48:G48"/>
    <mergeCell ref="B40:C40"/>
    <mergeCell ref="B41:C41"/>
    <mergeCell ref="B46:C46"/>
    <mergeCell ref="F40:G40"/>
    <mergeCell ref="F41:G41"/>
    <mergeCell ref="F46:G46"/>
    <mergeCell ref="B42:C42"/>
    <mergeCell ref="B43:C43"/>
    <mergeCell ref="B44:C44"/>
    <mergeCell ref="B45:C45"/>
    <mergeCell ref="F42:G42"/>
    <mergeCell ref="F43:G43"/>
    <mergeCell ref="B49:C49"/>
    <mergeCell ref="F49:G49"/>
    <mergeCell ref="F44:G44"/>
    <mergeCell ref="F45:G45"/>
    <mergeCell ref="B47:C47"/>
    <mergeCell ref="B48:C48"/>
    <mergeCell ref="B39:C39"/>
    <mergeCell ref="F39:G39"/>
    <mergeCell ref="A12:K12"/>
    <mergeCell ref="A33:C33"/>
    <mergeCell ref="A36:G36"/>
    <mergeCell ref="B38:C38"/>
    <mergeCell ref="F38:G38"/>
    <mergeCell ref="A32:F32"/>
    <mergeCell ref="A1:K1"/>
    <mergeCell ref="A2:K2"/>
    <mergeCell ref="A3:K3"/>
    <mergeCell ref="A5:K5"/>
    <mergeCell ref="A10:K10"/>
    <mergeCell ref="A11:K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7030A0"/>
  </sheetPr>
  <dimension ref="A1:M49"/>
  <sheetViews>
    <sheetView zoomScalePageLayoutView="0" workbookViewId="0" topLeftCell="A34">
      <selection activeCell="F43" sqref="F43:G43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421875" style="57" hidden="1" customWidth="1" outlineLevel="1"/>
    <col min="11" max="11" width="9.140625" style="57" hidden="1" customWidth="1" outlineLevel="1"/>
    <col min="12" max="12" width="10.00390625" style="57" hidden="1" customWidth="1" outlineLevel="1"/>
    <col min="13" max="13" width="15.8515625" style="57" hidden="1" customWidth="1" outlineLevel="1"/>
    <col min="14" max="14" width="9.140625" style="57" customWidth="1" collapsed="1"/>
    <col min="15" max="16384" width="9.140625" style="57" customWidth="1"/>
  </cols>
  <sheetData>
    <row r="1" spans="1:10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</row>
    <row r="2" spans="1:10" ht="12.75">
      <c r="A2" s="443" t="s">
        <v>52</v>
      </c>
      <c r="B2" s="443"/>
      <c r="C2" s="443"/>
      <c r="D2" s="443"/>
      <c r="E2" s="443"/>
      <c r="F2" s="443"/>
      <c r="G2" s="443"/>
      <c r="H2" s="443"/>
      <c r="I2" s="443"/>
      <c r="J2" s="443"/>
    </row>
    <row r="3" spans="1:10" ht="13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</row>
    <row r="4" spans="1:10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16.5" customHeight="1">
      <c r="A5" s="444" t="s">
        <v>1</v>
      </c>
      <c r="B5" s="443"/>
      <c r="C5" s="443"/>
      <c r="D5" s="443"/>
      <c r="E5" s="443"/>
      <c r="F5" s="443"/>
      <c r="G5" s="443"/>
      <c r="H5" s="443"/>
      <c r="I5" s="443"/>
      <c r="J5" s="443"/>
    </row>
    <row r="7" spans="1:12" s="59" customFormat="1" ht="16.5" customHeight="1">
      <c r="A7" s="59" t="s">
        <v>2</v>
      </c>
      <c r="F7" s="60" t="s">
        <v>319</v>
      </c>
      <c r="H7" s="60" t="s">
        <v>482</v>
      </c>
      <c r="I7" s="59" t="s">
        <v>771</v>
      </c>
      <c r="J7" s="59" t="s">
        <v>772</v>
      </c>
      <c r="K7" s="59" t="s">
        <v>259</v>
      </c>
      <c r="L7" s="59" t="s">
        <v>483</v>
      </c>
    </row>
    <row r="8" spans="1:12" s="59" customFormat="1" ht="12.75">
      <c r="A8" s="59" t="s">
        <v>3</v>
      </c>
      <c r="F8" s="301" t="s">
        <v>481</v>
      </c>
      <c r="I8" s="304">
        <v>632.8</v>
      </c>
      <c r="J8" s="304">
        <v>1641.7</v>
      </c>
      <c r="K8" s="304">
        <v>405.4</v>
      </c>
      <c r="L8" s="61">
        <v>698.8</v>
      </c>
    </row>
    <row r="9" spans="2:12" s="59" customFormat="1" ht="12.75">
      <c r="B9" s="59" t="s">
        <v>507</v>
      </c>
      <c r="F9" s="301" t="s">
        <v>773</v>
      </c>
      <c r="I9" s="434"/>
      <c r="J9" s="434"/>
      <c r="K9" s="434"/>
      <c r="L9" s="251"/>
    </row>
    <row r="10" spans="1:10" s="59" customFormat="1" ht="12.75">
      <c r="A10" s="445" t="s">
        <v>8</v>
      </c>
      <c r="B10" s="445"/>
      <c r="C10" s="445"/>
      <c r="D10" s="445"/>
      <c r="E10" s="445"/>
      <c r="F10" s="445"/>
      <c r="G10" s="445"/>
      <c r="H10" s="445"/>
      <c r="I10" s="445"/>
      <c r="J10" s="445"/>
    </row>
    <row r="11" spans="1:10" s="59" customFormat="1" ht="12.75">
      <c r="A11" s="445" t="s">
        <v>9</v>
      </c>
      <c r="B11" s="445"/>
      <c r="C11" s="445"/>
      <c r="D11" s="445"/>
      <c r="E11" s="445"/>
      <c r="F11" s="445"/>
      <c r="G11" s="445"/>
      <c r="H11" s="445"/>
      <c r="I11" s="445"/>
      <c r="J11" s="445"/>
    </row>
    <row r="12" spans="1:10" s="59" customFormat="1" ht="12.75">
      <c r="A12" s="445" t="s">
        <v>10</v>
      </c>
      <c r="B12" s="445"/>
      <c r="C12" s="445"/>
      <c r="D12" s="445"/>
      <c r="E12" s="445"/>
      <c r="F12" s="445"/>
      <c r="G12" s="445"/>
      <c r="H12" s="445"/>
      <c r="I12" s="445"/>
      <c r="J12" s="445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431</v>
      </c>
      <c r="B14" s="64"/>
      <c r="C14" s="64"/>
      <c r="D14" s="69"/>
      <c r="E14" s="70"/>
      <c r="F14" s="70"/>
      <c r="G14" s="65">
        <f>'[2]Парижской Коммуны,1а'!$G$34</f>
        <v>-93058.82780000001</v>
      </c>
      <c r="H14" s="62"/>
      <c r="I14" s="62"/>
    </row>
    <row r="15" s="59" customFormat="1" ht="6.75" customHeight="1"/>
    <row r="16" spans="1:11" s="74" customFormat="1" ht="38.25">
      <c r="A16" s="72" t="s">
        <v>11</v>
      </c>
      <c r="B16" s="72" t="s">
        <v>12</v>
      </c>
      <c r="C16" s="72" t="s">
        <v>91</v>
      </c>
      <c r="D16" s="72" t="s">
        <v>409</v>
      </c>
      <c r="E16" s="72" t="s">
        <v>410</v>
      </c>
      <c r="F16" s="73" t="s">
        <v>411</v>
      </c>
      <c r="G16" s="72" t="s">
        <v>412</v>
      </c>
      <c r="J16" s="74">
        <f>192.1+232.4+208.3</f>
        <v>632.8</v>
      </c>
      <c r="K16" s="74">
        <f>J8+K8+L8</f>
        <v>2745.8999999999996</v>
      </c>
    </row>
    <row r="17" spans="1:13" s="59" customFormat="1" ht="14.25">
      <c r="A17" s="75" t="s">
        <v>14</v>
      </c>
      <c r="B17" s="41" t="s">
        <v>15</v>
      </c>
      <c r="C17" s="97">
        <f>C18+C19+C20+C21</f>
        <v>6.680000000000001</v>
      </c>
      <c r="D17" s="76">
        <v>298211.76</v>
      </c>
      <c r="E17" s="76">
        <v>223318.72</v>
      </c>
      <c r="F17" s="76">
        <f aca="true" t="shared" si="0" ref="F17:F23">D17</f>
        <v>298211.76</v>
      </c>
      <c r="G17" s="77">
        <f>D17-E17</f>
        <v>74893.04000000001</v>
      </c>
      <c r="H17" s="78">
        <f>C17</f>
        <v>6.680000000000001</v>
      </c>
      <c r="I17" s="79"/>
      <c r="J17" s="79">
        <v>5.98</v>
      </c>
      <c r="K17" s="79">
        <v>6.84</v>
      </c>
      <c r="L17" s="78">
        <f>((J17*J16)+(K17*K16))/3378.7</f>
        <v>6.678929765886288</v>
      </c>
      <c r="M17" s="80"/>
    </row>
    <row r="18" spans="1:12" s="59" customFormat="1" ht="15">
      <c r="A18" s="81" t="s">
        <v>16</v>
      </c>
      <c r="B18" s="34" t="s">
        <v>17</v>
      </c>
      <c r="C18" s="82">
        <v>3.46</v>
      </c>
      <c r="D18" s="83">
        <f>D17*I18</f>
        <v>154462.97748502993</v>
      </c>
      <c r="E18" s="83">
        <f>E17*I18</f>
        <v>115671.07353293411</v>
      </c>
      <c r="F18" s="83">
        <f t="shared" si="0"/>
        <v>154462.97748502993</v>
      </c>
      <c r="G18" s="84">
        <f>D18-E18</f>
        <v>38791.90395209582</v>
      </c>
      <c r="H18" s="78">
        <f>C18</f>
        <v>3.46</v>
      </c>
      <c r="I18" s="59">
        <f>H18/H17</f>
        <v>0.5179640718562873</v>
      </c>
      <c r="J18" s="59">
        <v>3.46</v>
      </c>
      <c r="K18" s="59">
        <v>3.46</v>
      </c>
      <c r="L18" s="80">
        <f>(J16+K16)*K18/3378.7</f>
        <v>3.46</v>
      </c>
    </row>
    <row r="19" spans="1:12" s="59" customFormat="1" ht="15">
      <c r="A19" s="81" t="s">
        <v>18</v>
      </c>
      <c r="B19" s="34" t="s">
        <v>19</v>
      </c>
      <c r="C19" s="82">
        <v>1.69</v>
      </c>
      <c r="D19" s="83">
        <f>D17*I19</f>
        <v>75445.78958083832</v>
      </c>
      <c r="E19" s="83">
        <f>E17*I19</f>
        <v>56498.29892215568</v>
      </c>
      <c r="F19" s="83">
        <f t="shared" si="0"/>
        <v>75445.78958083832</v>
      </c>
      <c r="G19" s="84">
        <f>D19-E19</f>
        <v>18947.49065868264</v>
      </c>
      <c r="H19" s="78">
        <f>C19</f>
        <v>1.69</v>
      </c>
      <c r="I19" s="59">
        <f>H19/H17</f>
        <v>0.2529940119760479</v>
      </c>
      <c r="J19" s="59">
        <v>1.69</v>
      </c>
      <c r="K19" s="59">
        <v>1.69</v>
      </c>
      <c r="L19" s="80">
        <f>(J16+K16)*K19/3378.7</f>
        <v>1.69</v>
      </c>
    </row>
    <row r="20" spans="1:12" s="59" customFormat="1" ht="15">
      <c r="A20" s="81" t="s">
        <v>20</v>
      </c>
      <c r="B20" s="34" t="s">
        <v>21</v>
      </c>
      <c r="C20" s="82">
        <v>1.53</v>
      </c>
      <c r="D20" s="83">
        <f>D17*I20</f>
        <v>68302.99293413173</v>
      </c>
      <c r="E20" s="83">
        <f>E17*I20</f>
        <v>51149.347544910175</v>
      </c>
      <c r="F20" s="83">
        <f t="shared" si="0"/>
        <v>68302.99293413173</v>
      </c>
      <c r="G20" s="84">
        <f>D20-E20</f>
        <v>17153.645389221558</v>
      </c>
      <c r="H20" s="78">
        <v>1.53</v>
      </c>
      <c r="I20" s="59">
        <f>H20/H17</f>
        <v>0.22904191616766464</v>
      </c>
      <c r="J20" s="59">
        <v>0.83</v>
      </c>
      <c r="K20" s="59">
        <v>1.69</v>
      </c>
      <c r="L20" s="80">
        <f>((J20*J16)+(K20*K16))/3378.7</f>
        <v>1.5289297658862875</v>
      </c>
    </row>
    <row r="21" spans="1:12" s="59" customFormat="1" ht="15">
      <c r="A21" s="81" t="s">
        <v>22</v>
      </c>
      <c r="B21" s="34" t="s">
        <v>23</v>
      </c>
      <c r="C21" s="82">
        <v>0</v>
      </c>
      <c r="D21" s="83">
        <f>D17*I21</f>
        <v>0</v>
      </c>
      <c r="E21" s="83">
        <f>E17*I21</f>
        <v>0</v>
      </c>
      <c r="F21" s="83">
        <f t="shared" si="0"/>
        <v>0</v>
      </c>
      <c r="G21" s="84">
        <f>D21-E21</f>
        <v>0</v>
      </c>
      <c r="H21" s="78">
        <v>0</v>
      </c>
      <c r="I21" s="59">
        <f>H21/H17</f>
        <v>0</v>
      </c>
      <c r="K21" s="59">
        <v>0</v>
      </c>
      <c r="L21" s="80">
        <f>((K21*K16))/3337.4</f>
        <v>0</v>
      </c>
    </row>
    <row r="22" spans="1:10" s="89" customFormat="1" ht="14.25">
      <c r="A22" s="86" t="s">
        <v>25</v>
      </c>
      <c r="B22" s="86" t="s">
        <v>209</v>
      </c>
      <c r="C22" s="46">
        <v>0</v>
      </c>
      <c r="D22" s="87">
        <v>0</v>
      </c>
      <c r="E22" s="87">
        <v>0</v>
      </c>
      <c r="F22" s="87">
        <v>0</v>
      </c>
      <c r="G22" s="77">
        <f aca="true" t="shared" si="1" ref="G22:G31">D22-E22</f>
        <v>0</v>
      </c>
      <c r="H22" s="88"/>
      <c r="I22" s="88"/>
      <c r="J22" s="88"/>
    </row>
    <row r="23" spans="1:10" s="89" customFormat="1" ht="14.25">
      <c r="A23" s="86" t="s">
        <v>27</v>
      </c>
      <c r="B23" s="86" t="s">
        <v>371</v>
      </c>
      <c r="C23" s="370" t="s">
        <v>806</v>
      </c>
      <c r="D23" s="87">
        <v>44640</v>
      </c>
      <c r="E23" s="87">
        <v>82587.79</v>
      </c>
      <c r="F23" s="87">
        <f t="shared" si="0"/>
        <v>44640</v>
      </c>
      <c r="G23" s="77">
        <f t="shared" si="1"/>
        <v>-37947.78999999999</v>
      </c>
      <c r="H23" s="88"/>
      <c r="I23" s="88"/>
      <c r="J23" s="88"/>
    </row>
    <row r="24" spans="1:10" s="89" customFormat="1" ht="14.25">
      <c r="A24" s="86" t="s">
        <v>29</v>
      </c>
      <c r="B24" s="86" t="s">
        <v>26</v>
      </c>
      <c r="C24" s="46">
        <v>0</v>
      </c>
      <c r="D24" s="87">
        <v>0</v>
      </c>
      <c r="E24" s="87">
        <v>0</v>
      </c>
      <c r="F24" s="87">
        <v>0</v>
      </c>
      <c r="G24" s="77">
        <f t="shared" si="1"/>
        <v>0</v>
      </c>
      <c r="H24" s="88"/>
      <c r="I24" s="88"/>
      <c r="J24" s="88"/>
    </row>
    <row r="25" spans="1:10" s="89" customFormat="1" ht="14.25">
      <c r="A25" s="86" t="s">
        <v>31</v>
      </c>
      <c r="B25" s="86" t="s">
        <v>116</v>
      </c>
      <c r="C25" s="95">
        <v>5</v>
      </c>
      <c r="D25" s="87">
        <v>201817.5</v>
      </c>
      <c r="E25" s="87">
        <v>133666.87</v>
      </c>
      <c r="F25" s="87">
        <f>F39</f>
        <v>69138.6687</v>
      </c>
      <c r="G25" s="77">
        <f t="shared" si="1"/>
        <v>68150.63</v>
      </c>
      <c r="H25" s="88"/>
      <c r="I25" s="88"/>
      <c r="J25" s="88"/>
    </row>
    <row r="26" spans="1:10" ht="14.25">
      <c r="A26" s="41" t="s">
        <v>33</v>
      </c>
      <c r="B26" s="41" t="s">
        <v>161</v>
      </c>
      <c r="C26" s="97">
        <v>12.54</v>
      </c>
      <c r="D26" s="77">
        <v>0</v>
      </c>
      <c r="E26" s="77">
        <v>0</v>
      </c>
      <c r="F26" s="87">
        <f>D26</f>
        <v>0</v>
      </c>
      <c r="G26" s="77">
        <f t="shared" si="1"/>
        <v>0</v>
      </c>
      <c r="H26" s="98"/>
      <c r="I26" s="98"/>
      <c r="J26" s="98"/>
    </row>
    <row r="27" spans="1:10" ht="14.25">
      <c r="A27" s="41" t="s">
        <v>35</v>
      </c>
      <c r="B27" s="41" t="s">
        <v>36</v>
      </c>
      <c r="C27" s="97"/>
      <c r="D27" s="77">
        <f>SUM(D28:D31)</f>
        <v>37981.81999999999</v>
      </c>
      <c r="E27" s="77">
        <f>SUM(E28:E31)</f>
        <v>24389.89</v>
      </c>
      <c r="F27" s="77">
        <f>SUM(F28:F31)</f>
        <v>37981.81999999999</v>
      </c>
      <c r="G27" s="77">
        <f t="shared" si="1"/>
        <v>13591.929999999993</v>
      </c>
      <c r="H27" s="98"/>
      <c r="I27" s="98"/>
      <c r="J27" s="98"/>
    </row>
    <row r="28" spans="1:7" ht="15">
      <c r="A28" s="34" t="s">
        <v>37</v>
      </c>
      <c r="B28" s="34" t="s">
        <v>165</v>
      </c>
      <c r="C28" s="285">
        <v>6</v>
      </c>
      <c r="D28" s="84">
        <v>16870.01</v>
      </c>
      <c r="E28" s="84">
        <v>10824.13</v>
      </c>
      <c r="F28" s="84">
        <f>D28</f>
        <v>16870.01</v>
      </c>
      <c r="G28" s="84">
        <f t="shared" si="1"/>
        <v>6045.879999999999</v>
      </c>
    </row>
    <row r="29" spans="1:7" ht="15">
      <c r="A29" s="34" t="s">
        <v>39</v>
      </c>
      <c r="B29" s="34" t="s">
        <v>137</v>
      </c>
      <c r="C29" s="285">
        <v>57.08</v>
      </c>
      <c r="D29" s="84">
        <v>6085.76</v>
      </c>
      <c r="E29" s="84">
        <v>3929.95</v>
      </c>
      <c r="F29" s="84">
        <f>D29</f>
        <v>6085.76</v>
      </c>
      <c r="G29" s="84">
        <f t="shared" si="1"/>
        <v>2155.8100000000004</v>
      </c>
    </row>
    <row r="30" spans="1:7" ht="15">
      <c r="A30" s="34" t="s">
        <v>42</v>
      </c>
      <c r="B30" s="51" t="s">
        <v>340</v>
      </c>
      <c r="C30" s="286">
        <v>198.45</v>
      </c>
      <c r="D30" s="84">
        <v>15026.05</v>
      </c>
      <c r="E30" s="84">
        <v>9635.81</v>
      </c>
      <c r="F30" s="84">
        <f>D30</f>
        <v>15026.05</v>
      </c>
      <c r="G30" s="84">
        <f t="shared" si="1"/>
        <v>5390.24</v>
      </c>
    </row>
    <row r="31" spans="1:7" s="272" customFormat="1" ht="15">
      <c r="A31" s="267" t="s">
        <v>41</v>
      </c>
      <c r="B31" s="267" t="s">
        <v>43</v>
      </c>
      <c r="C31" s="143">
        <v>0</v>
      </c>
      <c r="D31" s="210">
        <v>0</v>
      </c>
      <c r="E31" s="210">
        <v>0</v>
      </c>
      <c r="F31" s="210">
        <f>D31</f>
        <v>0</v>
      </c>
      <c r="G31" s="84">
        <f t="shared" si="1"/>
        <v>0</v>
      </c>
    </row>
    <row r="32" spans="1:9" s="102" customFormat="1" ht="19.5" customHeight="1" thickBot="1">
      <c r="A32" s="446" t="s">
        <v>294</v>
      </c>
      <c r="B32" s="447"/>
      <c r="C32" s="447"/>
      <c r="D32" s="448"/>
      <c r="E32" s="448"/>
      <c r="F32" s="448"/>
      <c r="G32" s="101"/>
      <c r="H32" s="101"/>
      <c r="I32" s="101"/>
    </row>
    <row r="33" spans="1:9" s="67" customFormat="1" ht="15.75" thickBot="1">
      <c r="A33" s="455" t="s">
        <v>413</v>
      </c>
      <c r="B33" s="456"/>
      <c r="C33" s="456"/>
      <c r="D33" s="280">
        <v>1510718.6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415</v>
      </c>
      <c r="B35" s="64"/>
      <c r="C35" s="64"/>
      <c r="D35" s="69"/>
      <c r="E35" s="70"/>
      <c r="F35" s="70"/>
      <c r="G35" s="144">
        <f>G14+E25-F25</f>
        <v>-28530.626500000013</v>
      </c>
      <c r="H35" s="62"/>
      <c r="I35" s="62"/>
    </row>
    <row r="36" spans="1:10" ht="31.5" customHeight="1">
      <c r="A36" s="616" t="s">
        <v>179</v>
      </c>
      <c r="B36" s="617"/>
      <c r="C36" s="617"/>
      <c r="D36" s="617"/>
      <c r="E36" s="617"/>
      <c r="F36" s="617"/>
      <c r="G36" s="617"/>
      <c r="H36" s="58"/>
      <c r="I36" s="58"/>
      <c r="J36" s="58"/>
    </row>
    <row r="38" spans="1:11" s="74" customFormat="1" ht="37.5" customHeight="1">
      <c r="A38" s="105" t="s">
        <v>11</v>
      </c>
      <c r="B38" s="471" t="s">
        <v>45</v>
      </c>
      <c r="C38" s="484"/>
      <c r="D38" s="105" t="s">
        <v>163</v>
      </c>
      <c r="E38" s="105" t="s">
        <v>162</v>
      </c>
      <c r="F38" s="471" t="s">
        <v>46</v>
      </c>
      <c r="G38" s="484"/>
      <c r="H38" s="244"/>
      <c r="I38" s="245"/>
      <c r="K38" s="108"/>
    </row>
    <row r="39" spans="1:11" s="114" customFormat="1" ht="15" customHeight="1">
      <c r="A39" s="109" t="s">
        <v>47</v>
      </c>
      <c r="B39" s="473" t="s">
        <v>111</v>
      </c>
      <c r="C39" s="491"/>
      <c r="D39" s="110"/>
      <c r="E39" s="110"/>
      <c r="F39" s="496">
        <f>SUM(F40:G43)</f>
        <v>69138.6687</v>
      </c>
      <c r="G39" s="483"/>
      <c r="H39" s="246"/>
      <c r="I39" s="247"/>
      <c r="K39" s="115"/>
    </row>
    <row r="40" spans="1:11" ht="15">
      <c r="A40" s="34" t="s">
        <v>16</v>
      </c>
      <c r="B40" s="462" t="s">
        <v>774</v>
      </c>
      <c r="C40" s="489"/>
      <c r="D40" s="403" t="s">
        <v>164</v>
      </c>
      <c r="E40" s="403">
        <v>1</v>
      </c>
      <c r="F40" s="624">
        <v>50602</v>
      </c>
      <c r="G40" s="625"/>
      <c r="H40" s="248"/>
      <c r="I40" s="249"/>
      <c r="K40" s="119"/>
    </row>
    <row r="41" spans="1:11" ht="15">
      <c r="A41" s="34" t="s">
        <v>18</v>
      </c>
      <c r="B41" s="462" t="s">
        <v>775</v>
      </c>
      <c r="C41" s="489"/>
      <c r="D41" s="403" t="s">
        <v>164</v>
      </c>
      <c r="E41" s="403">
        <v>1</v>
      </c>
      <c r="F41" s="624">
        <v>6000</v>
      </c>
      <c r="G41" s="625"/>
      <c r="H41" s="40"/>
      <c r="I41" s="40"/>
      <c r="K41" s="119"/>
    </row>
    <row r="42" spans="1:11" ht="15">
      <c r="A42" s="34" t="s">
        <v>20</v>
      </c>
      <c r="B42" s="449" t="s">
        <v>826</v>
      </c>
      <c r="C42" s="451"/>
      <c r="D42" s="118" t="s">
        <v>391</v>
      </c>
      <c r="E42" s="118">
        <v>4</v>
      </c>
      <c r="F42" s="523">
        <v>11200</v>
      </c>
      <c r="G42" s="524"/>
      <c r="H42" s="40"/>
      <c r="I42" s="40"/>
      <c r="K42" s="119"/>
    </row>
    <row r="43" spans="1:10" s="67" customFormat="1" ht="15">
      <c r="A43" s="34" t="s">
        <v>22</v>
      </c>
      <c r="B43" s="511" t="s">
        <v>188</v>
      </c>
      <c r="C43" s="512"/>
      <c r="D43" s="123"/>
      <c r="E43" s="123"/>
      <c r="F43" s="495">
        <f>E25*1%</f>
        <v>1336.6687</v>
      </c>
      <c r="G43" s="495"/>
      <c r="H43" s="59"/>
      <c r="I43" s="59"/>
      <c r="J43" s="59"/>
    </row>
    <row r="44" s="59" customFormat="1" ht="9" customHeight="1"/>
    <row r="45" spans="1:10" s="59" customFormat="1" ht="15">
      <c r="A45" s="67" t="s">
        <v>55</v>
      </c>
      <c r="B45" s="67"/>
      <c r="C45" s="125" t="s">
        <v>49</v>
      </c>
      <c r="D45" s="67"/>
      <c r="E45" s="67"/>
      <c r="F45" s="67" t="s">
        <v>90</v>
      </c>
      <c r="G45" s="67"/>
      <c r="H45" s="67"/>
      <c r="I45" s="67"/>
      <c r="J45" s="67"/>
    </row>
    <row r="46" spans="1:7" s="59" customFormat="1" ht="15">
      <c r="A46" s="67"/>
      <c r="B46" s="67"/>
      <c r="C46" s="125"/>
      <c r="D46" s="67"/>
      <c r="E46" s="67"/>
      <c r="F46" s="126" t="s">
        <v>545</v>
      </c>
      <c r="G46" s="67"/>
    </row>
    <row r="47" spans="1:9" s="59" customFormat="1" ht="15">
      <c r="A47" s="67" t="s">
        <v>50</v>
      </c>
      <c r="B47" s="67"/>
      <c r="C47" s="125"/>
      <c r="D47" s="67"/>
      <c r="E47" s="67"/>
      <c r="F47" s="67"/>
      <c r="G47" s="67"/>
      <c r="H47" s="156"/>
      <c r="I47" s="156"/>
    </row>
    <row r="48" spans="1:10" ht="15">
      <c r="A48" s="67"/>
      <c r="B48" s="67"/>
      <c r="C48" s="127" t="s">
        <v>51</v>
      </c>
      <c r="D48" s="67"/>
      <c r="E48" s="128"/>
      <c r="F48" s="128"/>
      <c r="G48" s="128"/>
      <c r="H48" s="59"/>
      <c r="I48" s="59"/>
      <c r="J48" s="59"/>
    </row>
    <row r="49" spans="1:10" ht="12.75">
      <c r="A49" s="59"/>
      <c r="B49" s="59"/>
      <c r="C49" s="59"/>
      <c r="D49" s="59"/>
      <c r="E49" s="59"/>
      <c r="F49" s="59"/>
      <c r="G49" s="59"/>
      <c r="H49" s="59"/>
      <c r="I49" s="59"/>
      <c r="J49" s="59"/>
    </row>
  </sheetData>
  <sheetProtection/>
  <mergeCells count="22">
    <mergeCell ref="B43:C43"/>
    <mergeCell ref="F43:G43"/>
    <mergeCell ref="B39:C39"/>
    <mergeCell ref="F39:G39"/>
    <mergeCell ref="B40:C40"/>
    <mergeCell ref="F40:G40"/>
    <mergeCell ref="B42:C42"/>
    <mergeCell ref="F42:G42"/>
    <mergeCell ref="B41:C41"/>
    <mergeCell ref="F41:G41"/>
    <mergeCell ref="A12:J12"/>
    <mergeCell ref="A32:F32"/>
    <mergeCell ref="A33:C33"/>
    <mergeCell ref="A36:G36"/>
    <mergeCell ref="B38:C38"/>
    <mergeCell ref="F38:G38"/>
    <mergeCell ref="A1:J1"/>
    <mergeCell ref="A2:J2"/>
    <mergeCell ref="A3:J3"/>
    <mergeCell ref="A5:J5"/>
    <mergeCell ref="A10:J10"/>
    <mergeCell ref="A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2024-03-29T12:11:14Z</dcterms:modified>
  <cp:category/>
  <cp:version/>
  <cp:contentType/>
  <cp:contentStatus/>
</cp:coreProperties>
</file>