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290" tabRatio="599" activeTab="104"/>
  </bookViews>
  <sheets>
    <sheet name="Телевизионная 2а" sheetId="1" r:id="rId1"/>
    <sheet name="Пионерская 16" sheetId="2" r:id="rId2"/>
    <sheet name=" Пионерская 1318 кв.1-50" sheetId="3" r:id="rId3"/>
    <sheet name=" Пионерская 1318 кв.51-64" sheetId="4" r:id="rId4"/>
    <sheet name="Багговута 12" sheetId="5" r:id="rId5"/>
    <sheet name="Пионерская 15" sheetId="6" r:id="rId6"/>
    <sheet name="Социалистическая 3" sheetId="7" r:id="rId7"/>
    <sheet name="Социалистическая 4" sheetId="8" r:id="rId8"/>
    <sheet name="Социалистическая 6 к.1" sheetId="9" r:id="rId9"/>
    <sheet name="Социалистическая 6" sheetId="10" r:id="rId10"/>
    <sheet name="Социалистическая 9" sheetId="11" r:id="rId11"/>
    <sheet name="Социалистическая 12" sheetId="12" r:id="rId12"/>
    <sheet name="Телевизионная 2" sheetId="13" r:id="rId13"/>
    <sheet name="Телевизионная 4" sheetId="14" r:id="rId14"/>
    <sheet name="Чичерина 7а" sheetId="15" r:id="rId15"/>
    <sheet name="Чичерина 8" sheetId="16" r:id="rId16"/>
    <sheet name="Чичерина 16 к. 1" sheetId="17" r:id="rId17"/>
    <sheet name="пер.Чичерина 24" sheetId="18" r:id="rId18"/>
    <sheet name="пер. Чичерина 28" sheetId="19" r:id="rId19"/>
    <sheet name="Калинина 12" sheetId="20" r:id="rId20"/>
    <sheet name="Калинина 18" sheetId="21" r:id="rId21"/>
    <sheet name="Калинина 23" sheetId="22" r:id="rId22"/>
    <sheet name="Пионерская 9" sheetId="23" r:id="rId23"/>
    <sheet name="Высокая 4" sheetId="24" r:id="rId24"/>
    <sheet name="Пухова 15" sheetId="25" r:id="rId25"/>
    <sheet name="Пухова 17" sheetId="26" r:id="rId26"/>
    <sheet name="Калинина 4" sheetId="27" r:id="rId27"/>
    <sheet name="Тельмана 10" sheetId="28" r:id="rId28"/>
    <sheet name="Пионерская 18" sheetId="29" r:id="rId29"/>
    <sheet name="Чичерина 12 к.1" sheetId="30" r:id="rId30"/>
    <sheet name="Телевизионная 6 к.1" sheetId="31" r:id="rId31"/>
    <sheet name="Пионерская 2" sheetId="32" r:id="rId32"/>
    <sheet name="Телевизионная 2 к.1" sheetId="33" r:id="rId33"/>
    <sheet name="Чичерина 16" sheetId="34" r:id="rId34"/>
    <sheet name="Чичерина 19" sheetId="35" r:id="rId35"/>
    <sheet name="Чичерина 22" sheetId="36" r:id="rId36"/>
    <sheet name="Лист1" sheetId="37" state="hidden" r:id="rId37"/>
    <sheet name="Лист2" sheetId="38" state="hidden" r:id="rId38"/>
    <sheet name="Ленина 68,8" sheetId="39" r:id="rId39"/>
    <sheet name="Ленина 67" sheetId="40" r:id="rId40"/>
    <sheet name="Огарева 20" sheetId="41" r:id="rId41"/>
    <sheet name="Пролетарская 40" sheetId="42" r:id="rId42"/>
    <sheet name="Чижевского 4" sheetId="43" r:id="rId43"/>
    <sheet name="Билибина 10" sheetId="44" r:id="rId44"/>
    <sheet name="Ленина 61.5" sheetId="45" r:id="rId45"/>
    <sheet name="Билибина 26" sheetId="46" r:id="rId46"/>
    <sheet name="Московская 167" sheetId="47" r:id="rId47"/>
    <sheet name="Билибина 28" sheetId="48" r:id="rId48"/>
    <sheet name="Общее" sheetId="49" state="hidden" r:id="rId49"/>
    <sheet name="Пролетарская 135" sheetId="50" r:id="rId50"/>
    <sheet name="Молодежная 41" sheetId="51" r:id="rId51"/>
    <sheet name="Солнечный б-р 2 общий" sheetId="52" r:id="rId52"/>
    <sheet name="Солнечный б-р 4" sheetId="53" r:id="rId53"/>
    <sheet name="Солнечный б-р 4-1" sheetId="54" r:id="rId54"/>
    <sheet name="Солнечный б-р 4-2" sheetId="55" r:id="rId55"/>
    <sheet name="Аллейная 2" sheetId="56" r:id="rId56"/>
    <sheet name="Телевизионная 10" sheetId="57" r:id="rId57"/>
    <sheet name="Дубрава 1" sheetId="58" r:id="rId58"/>
    <sheet name="Дубрава 2" sheetId="59" r:id="rId59"/>
    <sheet name="Дубрава 3" sheetId="60" r:id="rId60"/>
    <sheet name="Дубрава 4" sheetId="61" r:id="rId61"/>
    <sheet name="Дубрава 5" sheetId="62" r:id="rId62"/>
    <sheet name="Дубрава 6" sheetId="63" r:id="rId63"/>
    <sheet name="Дубрава 7" sheetId="64" r:id="rId64"/>
    <sheet name="Дубрава 9" sheetId="65" r:id="rId65"/>
    <sheet name="Дубрава10" sheetId="66" r:id="rId66"/>
    <sheet name="Дубрава 11" sheetId="67" r:id="rId67"/>
    <sheet name="Нефтебаза 1" sheetId="68" r:id="rId68"/>
    <sheet name="Нефтебаза 2" sheetId="69" r:id="rId69"/>
    <sheet name="Нефтебаза 3" sheetId="70" r:id="rId70"/>
    <sheet name="Нефтебаза 4" sheetId="71" r:id="rId71"/>
    <sheet name="Нефтебаза 5" sheetId="72" r:id="rId72"/>
    <sheet name="Нефтебаза 6" sheetId="73" r:id="rId73"/>
    <sheet name="Аэропортовская 14" sheetId="74" r:id="rId74"/>
    <sheet name="Дорожная 11 корп1" sheetId="75" r:id="rId75"/>
    <sheet name="Дорожная 11 корп2" sheetId="76" r:id="rId76"/>
    <sheet name="Моторная 30А" sheetId="77" r:id="rId77"/>
    <sheet name="Грабцевское шоссе 160" sheetId="78" r:id="rId78"/>
    <sheet name="Аэропортовская 9" sheetId="79" r:id="rId79"/>
    <sheet name="Хрустальная 52" sheetId="80" r:id="rId80"/>
    <sheet name="Хрустальная 56" sheetId="81" r:id="rId81"/>
    <sheet name="Хрустальная 62" sheetId="82" r:id="rId82"/>
    <sheet name="Хрустальная 66" sheetId="83" r:id="rId83"/>
    <sheet name="Хрустальная 70" sheetId="84" r:id="rId84"/>
    <sheet name="Хрустальная 74" sheetId="85" r:id="rId85"/>
    <sheet name="Молодежная 46" sheetId="86" r:id="rId86"/>
    <sheet name="Молодежная 48" sheetId="87" r:id="rId87"/>
    <sheet name="Солнечный бульвар 20" sheetId="88" r:id="rId88"/>
    <sheet name="Грабцевское шоссе 132 корп.1" sheetId="89" r:id="rId89"/>
    <sheet name="Гагарина 9" sheetId="90" r:id="rId90"/>
    <sheet name="Добровольского 14" sheetId="91" r:id="rId91"/>
    <sheet name="Чижевского 12" sheetId="92" r:id="rId92"/>
    <sheet name="Чижевского 23" sheetId="93" r:id="rId93"/>
    <sheet name="Болотникова 16" sheetId="94" r:id="rId94"/>
    <sheet name="Плеханова 2 к.2" sheetId="95" r:id="rId95"/>
    <sheet name="65 лет Победы 29" sheetId="96" r:id="rId96"/>
    <sheet name="Суворова 153 к.5" sheetId="97" r:id="rId97"/>
    <sheet name="Кооперативная1дробь2" sheetId="98" r:id="rId98"/>
    <sheet name="Парижской Коммуны,1а" sheetId="99" r:id="rId99"/>
    <sheet name="А.Королева 29" sheetId="100" r:id="rId100"/>
    <sheet name="Калинина 15" sheetId="101" r:id="rId101"/>
    <sheet name="Грабцевское шоссе,77" sheetId="102" r:id="rId102"/>
    <sheet name="Грабцевское шоссе,78" sheetId="103" r:id="rId103"/>
    <sheet name="Октябрьская,8" sheetId="104" r:id="rId104"/>
    <sheet name="А.Королева,27" sheetId="105" r:id="rId105"/>
  </sheets>
  <externalReferences>
    <externalReference r:id="rId108"/>
  </externalReferences>
  <definedNames>
    <definedName name="_xlnm.Print_Area" localSheetId="2">' Пионерская 1318 кв.1-50'!$A$1:$K$51</definedName>
    <definedName name="_xlnm.Print_Area" localSheetId="3">' Пионерская 1318 кв.51-64'!$A$1:$K$49</definedName>
    <definedName name="_xlnm.Print_Area" localSheetId="4">'Багговута 12'!$A$1:$K$57</definedName>
    <definedName name="_xlnm.Print_Area" localSheetId="50">'Молодежная 41'!$A$1:$K$70</definedName>
    <definedName name="_xlnm.Print_Area" localSheetId="17">'пер.Чичерина 24'!$A$1:$H$55</definedName>
    <definedName name="_xlnm.Print_Area" localSheetId="1">'Пионерская 16'!$A$1:$K$51</definedName>
    <definedName name="_xlnm.Print_Area" localSheetId="0">'Телевизионная 2а'!$A$1:$K$52</definedName>
  </definedNames>
  <calcPr fullCalcOnLoad="1"/>
</workbook>
</file>

<file path=xl/sharedStrings.xml><?xml version="1.0" encoding="utf-8"?>
<sst xmlns="http://schemas.openxmlformats.org/spreadsheetml/2006/main" count="8953" uniqueCount="793">
  <si>
    <t>ОТЧЕТ УПРАВЛЯЮЩЕЙ ОРГАНИЗАЦИИ</t>
  </si>
  <si>
    <t>1. Общие сведения о многоквартирном доме</t>
  </si>
  <si>
    <t>Адрес многоквартирного дома:</t>
  </si>
  <si>
    <t>Общая площадь многоквартирного дома:</t>
  </si>
  <si>
    <t xml:space="preserve"> в том числе:</t>
  </si>
  <si>
    <t>а) жилых помещений (общая площадь квартир):</t>
  </si>
  <si>
    <t xml:space="preserve">                                        </t>
  </si>
  <si>
    <t>б) нежилых помещений :</t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</si>
  <si>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</si>
  <si>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</si>
  <si>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>за отчетный период</t>
  </si>
  <si>
    <t>№ п/п</t>
  </si>
  <si>
    <t>Наименование</t>
  </si>
  <si>
    <t>Остаток средств на 01.01.2011 г., руб.</t>
  </si>
  <si>
    <t>1.</t>
  </si>
  <si>
    <t>Содержание общего имущества , в том числе:</t>
  </si>
  <si>
    <t>1.1.</t>
  </si>
  <si>
    <t>Управление многоквартирным домом</t>
  </si>
  <si>
    <t>1.2.</t>
  </si>
  <si>
    <t>Содержание конструктивных элементов</t>
  </si>
  <si>
    <t>1.3.</t>
  </si>
  <si>
    <t>Содержание инженерных сетей</t>
  </si>
  <si>
    <t>1.4.</t>
  </si>
  <si>
    <t>Содержание придомовой территории</t>
  </si>
  <si>
    <t>1.5.</t>
  </si>
  <si>
    <t>2.</t>
  </si>
  <si>
    <t>Содержание лифтов</t>
  </si>
  <si>
    <t>3.</t>
  </si>
  <si>
    <t>Сбор, вывоз ТБО (ЖБО)</t>
  </si>
  <si>
    <t>4.</t>
  </si>
  <si>
    <t>Содержание мусоропроводов</t>
  </si>
  <si>
    <t>5.</t>
  </si>
  <si>
    <t>Текущий ремонт общего имущества</t>
  </si>
  <si>
    <t xml:space="preserve">6. </t>
  </si>
  <si>
    <t>Капитальный ремонт общего имущества</t>
  </si>
  <si>
    <t>7.</t>
  </si>
  <si>
    <t>Коммунальные услуги, в том числе:</t>
  </si>
  <si>
    <t>7.1.</t>
  </si>
  <si>
    <t>Холодное водоснабжение</t>
  </si>
  <si>
    <t>7.2.</t>
  </si>
  <si>
    <t>Горячее водоснабжение</t>
  </si>
  <si>
    <t>7.4.</t>
  </si>
  <si>
    <t>7.3.</t>
  </si>
  <si>
    <t>Центральное отопление</t>
  </si>
  <si>
    <t>3. Отчет о фактически выполненных работах по ремонту общего имущества в многоквартирном доме на основании принятого решения собственниками помещений</t>
  </si>
  <si>
    <t>Виды услуг (работ)</t>
  </si>
  <si>
    <t>Затраты за отчетный период, руб.</t>
  </si>
  <si>
    <t xml:space="preserve">1. </t>
  </si>
  <si>
    <t>Текущий ремонт</t>
  </si>
  <si>
    <t>__________________</t>
  </si>
  <si>
    <t>В целях контроля отчет предоставлен: __________________________________________</t>
  </si>
  <si>
    <t>(Ф.И.О. уполномоченного лица, определенного решением общего собрания)</t>
  </si>
  <si>
    <t>ООО "Техно-Р"</t>
  </si>
  <si>
    <t xml:space="preserve">      ул. Телевизионная д. 2 а    </t>
  </si>
  <si>
    <t xml:space="preserve">           2419,10 кв.м          </t>
  </si>
  <si>
    <t>Директор ООО "Техно-Р"</t>
  </si>
  <si>
    <t xml:space="preserve">      ул. Пионерская д. 16    </t>
  </si>
  <si>
    <t xml:space="preserve">      ул. Багговута д. 12    </t>
  </si>
  <si>
    <t xml:space="preserve">      ул. Пионерская д. 15    </t>
  </si>
  <si>
    <t xml:space="preserve">      ул. Социалистическая  д. 4    </t>
  </si>
  <si>
    <t xml:space="preserve">      ул. Социалистическая  д. 6    </t>
  </si>
  <si>
    <t xml:space="preserve">      ул. Социалистическая  д. 6 корп. 1    </t>
  </si>
  <si>
    <t xml:space="preserve">          1005,30 кв.м          </t>
  </si>
  <si>
    <t xml:space="preserve">      ул. Социалистическая д. 9    </t>
  </si>
  <si>
    <t xml:space="preserve">      ул. Социалистическая  д. 12    </t>
  </si>
  <si>
    <t xml:space="preserve">      ул. Телевизионная д. 2     </t>
  </si>
  <si>
    <t xml:space="preserve">      ул. Телевизионная д. 4    </t>
  </si>
  <si>
    <t xml:space="preserve">      ул. Чичерина  д. 7 а    </t>
  </si>
  <si>
    <t xml:space="preserve">      ул. Чичерина д. 8    </t>
  </si>
  <si>
    <t xml:space="preserve">      пер. Чичерина  д. 24    </t>
  </si>
  <si>
    <t xml:space="preserve">      пер. Чичерина д. 28    </t>
  </si>
  <si>
    <t xml:space="preserve">      ул. Калинина д. 12   </t>
  </si>
  <si>
    <t xml:space="preserve">      ул. Калинина д. 18   </t>
  </si>
  <si>
    <t xml:space="preserve">      ул. Калинина д. 23   </t>
  </si>
  <si>
    <t xml:space="preserve">      ул. Пионерская д. 9    </t>
  </si>
  <si>
    <t xml:space="preserve">      ул. Высокая  д. 4    </t>
  </si>
  <si>
    <t xml:space="preserve">      ул. Пухова д. 15    </t>
  </si>
  <si>
    <t xml:space="preserve">           371,80 кв.м          </t>
  </si>
  <si>
    <t xml:space="preserve">      ул. Пухова  д. 17       </t>
  </si>
  <si>
    <t xml:space="preserve">      ул. Калинина  д. 4    </t>
  </si>
  <si>
    <t xml:space="preserve">      ул. Пионерская  д. 18    </t>
  </si>
  <si>
    <t xml:space="preserve">           2821,10 кв.м          </t>
  </si>
  <si>
    <t xml:space="preserve">           900,40 кв.м          </t>
  </si>
  <si>
    <t xml:space="preserve">      ул. Пионерская д. 2    </t>
  </si>
  <si>
    <t xml:space="preserve">      ул. Чичерина д. 16    </t>
  </si>
  <si>
    <t xml:space="preserve">      ул. Чичерина  д. 22     </t>
  </si>
  <si>
    <t>Начислено в 2011 г., руб.</t>
  </si>
  <si>
    <t>Поступило средств за 2011 г., руб.</t>
  </si>
  <si>
    <t>Выполнены работы за 2011 г., руб.</t>
  </si>
  <si>
    <t>Остаток средств на 01.01.2012 г., руб.</t>
  </si>
  <si>
    <t>А.Е. Артамонов</t>
  </si>
  <si>
    <t>Тариф, руб. на ед. изм.</t>
  </si>
  <si>
    <t>Капитальный ремонт</t>
  </si>
  <si>
    <t>Электроэнерния МОП</t>
  </si>
  <si>
    <t>Итого за жилищные и коммунальные услуги:</t>
  </si>
  <si>
    <t>перед собственниками помещений о выполнении договора управления многоквартирным домом за 2012 год</t>
  </si>
  <si>
    <t>"      "                              2013 год</t>
  </si>
  <si>
    <t>Смена труб ГВС и запорной арматуры стояка в подвале</t>
  </si>
  <si>
    <t>Смена полотенцесушителя (кв. 45)</t>
  </si>
  <si>
    <t>Смена трубопровода</t>
  </si>
  <si>
    <t>Замена задвижки ц/о</t>
  </si>
  <si>
    <t>Задолжен-ность населения за 2011 г.</t>
  </si>
  <si>
    <t>ИТОГО за жилищныеуслуги:</t>
  </si>
  <si>
    <t>1.6.</t>
  </si>
  <si>
    <t>1.7.</t>
  </si>
  <si>
    <t xml:space="preserve">      ул. Ленина д. 68/8    </t>
  </si>
  <si>
    <t xml:space="preserve">      ул. Ленина д. 67    </t>
  </si>
  <si>
    <t xml:space="preserve">      ул. Огарева д. 20    </t>
  </si>
  <si>
    <t xml:space="preserve">      ул. Пролетарская  д. 40    </t>
  </si>
  <si>
    <t xml:space="preserve">      ул. Чижевского д. 4    </t>
  </si>
  <si>
    <t xml:space="preserve">          1428,00 кв.м          </t>
  </si>
  <si>
    <t>Содержание и ремонт общего имущества</t>
  </si>
  <si>
    <t>Начислено в 2012 г., руб.</t>
  </si>
  <si>
    <t>Поступило средств за 2012 г., руб.</t>
  </si>
  <si>
    <t>Выполнены работы за 2012 г., руб.</t>
  </si>
  <si>
    <t>Задолжен-ность населения за 2012 г.</t>
  </si>
  <si>
    <t>Ремонт общего имущества</t>
  </si>
  <si>
    <t>1.8.</t>
  </si>
  <si>
    <t>1.9.</t>
  </si>
  <si>
    <t>1.10.</t>
  </si>
  <si>
    <t xml:space="preserve">   ул. Пионерская  д. 13/18  </t>
  </si>
  <si>
    <t xml:space="preserve">ул. Социалистическая  д. 3 </t>
  </si>
  <si>
    <t xml:space="preserve">  ул. Чичерина д. 12 корп. 1    </t>
  </si>
  <si>
    <t>ул. Телевизионная д. 6 корп. 1</t>
  </si>
  <si>
    <t>ул. Телевизионная д. 2 корп. 1</t>
  </si>
  <si>
    <t>ул. Чичерина д. 16 корп. 1</t>
  </si>
  <si>
    <t xml:space="preserve">      ул. Билибина д. 10     </t>
  </si>
  <si>
    <t xml:space="preserve">      ул. Билибина д. 26    </t>
  </si>
  <si>
    <t xml:space="preserve">      ул. Билибина д. 28   </t>
  </si>
  <si>
    <t xml:space="preserve">      ул. Ленина д. 61/5      </t>
  </si>
  <si>
    <t>заполнены</t>
  </si>
  <si>
    <t xml:space="preserve">      ул. Пролетарская д. 135</t>
  </si>
  <si>
    <t xml:space="preserve">           1934,20 кв.м          </t>
  </si>
  <si>
    <t xml:space="preserve">           2419.10 кв.м          </t>
  </si>
  <si>
    <t xml:space="preserve">      ул. Молодежная д. 41</t>
  </si>
  <si>
    <t xml:space="preserve">      ул. Солнечный бульвар д. 2</t>
  </si>
  <si>
    <t xml:space="preserve">      ул. Солнечный бульвар д. 4</t>
  </si>
  <si>
    <t>Дополнительные услуги</t>
  </si>
  <si>
    <t>Холодное водоснабжение и водоотведение</t>
  </si>
  <si>
    <t>Горячее водоснабжение и водоотведение</t>
  </si>
  <si>
    <t>1.11.</t>
  </si>
  <si>
    <t xml:space="preserve">      ул. Аллейная, д.2</t>
  </si>
  <si>
    <t>1.12.</t>
  </si>
  <si>
    <t>1.13.</t>
  </si>
  <si>
    <t>Уборка мест общего пользования</t>
  </si>
  <si>
    <t>Справочно:</t>
  </si>
  <si>
    <t>Нежилые помещения</t>
  </si>
  <si>
    <t>площадь</t>
  </si>
  <si>
    <t>тариф</t>
  </si>
  <si>
    <t>начислено</t>
  </si>
  <si>
    <t>оплачено</t>
  </si>
  <si>
    <t>долг</t>
  </si>
  <si>
    <t xml:space="preserve">      ул. Телевизионная д. 10     </t>
  </si>
  <si>
    <t xml:space="preserve">      ул.Дубрава д. 3    </t>
  </si>
  <si>
    <t xml:space="preserve">           722,35 кв.м          </t>
  </si>
  <si>
    <t xml:space="preserve">      ул.Дубрава д.10</t>
  </si>
  <si>
    <t xml:space="preserve">      ул.Нефтебаза д.3</t>
  </si>
  <si>
    <t xml:space="preserve">      ул.Нефтебаза д.5</t>
  </si>
  <si>
    <t xml:space="preserve">      ул.Аэропортовская д.14</t>
  </si>
  <si>
    <t xml:space="preserve">      ул.Дорожная д.11 корп.1</t>
  </si>
  <si>
    <t xml:space="preserve">      ул.Дорожная д.11 корп.2</t>
  </si>
  <si>
    <t xml:space="preserve">          2880,2 кв.м          </t>
  </si>
  <si>
    <t>Дезинсекция</t>
  </si>
  <si>
    <t>Обслуживание КПУ</t>
  </si>
  <si>
    <t>Кол-во</t>
  </si>
  <si>
    <t>Ед. изм.</t>
  </si>
  <si>
    <t>шт</t>
  </si>
  <si>
    <t>Содержание ОИ -эл/эн</t>
  </si>
  <si>
    <t>м3</t>
  </si>
  <si>
    <t>м2</t>
  </si>
  <si>
    <t>Ремонт кровли</t>
  </si>
  <si>
    <t xml:space="preserve">Лифт </t>
  </si>
  <si>
    <t>Мусоропровод</t>
  </si>
  <si>
    <t>Дератизация</t>
  </si>
  <si>
    <t>Электроэнергия ипу, в т.ч. содерж. ОИ эл/эн</t>
  </si>
  <si>
    <t xml:space="preserve">      ул.Дубрава д.1</t>
  </si>
  <si>
    <t xml:space="preserve">      ул.Дубрава д.2</t>
  </si>
  <si>
    <t xml:space="preserve">      ул.Дубрава д. 4    </t>
  </si>
  <si>
    <t xml:space="preserve">      ул.Дубрава д. 5    </t>
  </si>
  <si>
    <t xml:space="preserve">      ул.Дубрава д. 6   </t>
  </si>
  <si>
    <t xml:space="preserve">      ул.Дубрава д. 9    </t>
  </si>
  <si>
    <t xml:space="preserve">      ул.Дубрава д. 11    </t>
  </si>
  <si>
    <t>3. Отчет о фактически выполненных работах по ремонту общего имущества в многоквартирном доме на основании принятого решения 
собственниками помещений</t>
  </si>
  <si>
    <t>Уборка МОП</t>
  </si>
  <si>
    <t xml:space="preserve">      ул.Аэропортовская д.9</t>
  </si>
  <si>
    <t xml:space="preserve">      ул.Грабцевское шоссе д.160</t>
  </si>
  <si>
    <t xml:space="preserve">      ул.Хрустальная д.74</t>
  </si>
  <si>
    <t xml:space="preserve">      ул.Молодежная д.46</t>
  </si>
  <si>
    <t>Обслуживание ИТП</t>
  </si>
  <si>
    <t xml:space="preserve">      ул.Грабцевское шоссе д.132 корп.1</t>
  </si>
  <si>
    <t>Налог 1%</t>
  </si>
  <si>
    <t>Налог 1% от суммы оплаты</t>
  </si>
  <si>
    <t>Задолженность населения за 2019г.</t>
  </si>
  <si>
    <t>гор вода=28.25+(2104,62*0,0674)</t>
  </si>
  <si>
    <t>4.1.</t>
  </si>
  <si>
    <t>4.2.</t>
  </si>
  <si>
    <t>4.3.</t>
  </si>
  <si>
    <t>4.4.</t>
  </si>
  <si>
    <t xml:space="preserve">5. </t>
  </si>
  <si>
    <t>6.</t>
  </si>
  <si>
    <t>6.1.</t>
  </si>
  <si>
    <t>6.2.</t>
  </si>
  <si>
    <t>6.3.</t>
  </si>
  <si>
    <t>6.4.</t>
  </si>
  <si>
    <t>8.</t>
  </si>
  <si>
    <t>Доп. услуги</t>
  </si>
  <si>
    <t>8.1.</t>
  </si>
  <si>
    <t>8.2.</t>
  </si>
  <si>
    <t>8.3.</t>
  </si>
  <si>
    <t>8.4.</t>
  </si>
  <si>
    <t xml:space="preserve">      ул.Нефтебаза д.1</t>
  </si>
  <si>
    <t xml:space="preserve">      ул.Нефтебаза д.2</t>
  </si>
  <si>
    <t xml:space="preserve">      ул.Хрустальная д.66</t>
  </si>
  <si>
    <t xml:space="preserve">      ул.Хрустальная д.56</t>
  </si>
  <si>
    <t xml:space="preserve">      ул.Хрустальная д.70</t>
  </si>
  <si>
    <t xml:space="preserve">      ул.Дубрава д. 7  </t>
  </si>
  <si>
    <t xml:space="preserve">      ул.Хрустальная д.52</t>
  </si>
  <si>
    <t xml:space="preserve">      ул.Хрустальная д.62</t>
  </si>
  <si>
    <t xml:space="preserve">      ул.Гагарина д.9</t>
  </si>
  <si>
    <t xml:space="preserve">      ул.Добровольского д.14</t>
  </si>
  <si>
    <t xml:space="preserve">      ул.Чижевского д.12</t>
  </si>
  <si>
    <t>Вывоз тбо</t>
  </si>
  <si>
    <t xml:space="preserve">      ул.Болотникова д.16</t>
  </si>
  <si>
    <t xml:space="preserve">      ул.Нефтебаза д.4</t>
  </si>
  <si>
    <t xml:space="preserve">      ул.Молодежная д.48</t>
  </si>
  <si>
    <t xml:space="preserve">      ул.Чижевского д.23</t>
  </si>
  <si>
    <t xml:space="preserve">      ул.Плеханова д.2 корп.2</t>
  </si>
  <si>
    <t xml:space="preserve">      ул.Калинина д.15</t>
  </si>
  <si>
    <t>100 м</t>
  </si>
  <si>
    <t>100м</t>
  </si>
  <si>
    <t>100шт</t>
  </si>
  <si>
    <t xml:space="preserve">      ул.Моторная д.30 А</t>
  </si>
  <si>
    <t>Уборка моп</t>
  </si>
  <si>
    <t>Дополнительные услуги (с квартиры уборка моп)</t>
  </si>
  <si>
    <t>Дополнительные услуги (уборка моп)</t>
  </si>
  <si>
    <t>Доп. Услуги (уборка моп)</t>
  </si>
  <si>
    <t>шт.</t>
  </si>
  <si>
    <t>договор</t>
  </si>
  <si>
    <t>товарный чек</t>
  </si>
  <si>
    <t>товарная накладная</t>
  </si>
  <si>
    <t>накопления по октябрь 2020</t>
  </si>
  <si>
    <t xml:space="preserve">          2129,0 кв.м          </t>
  </si>
  <si>
    <t>счет-фактура</t>
  </si>
  <si>
    <t xml:space="preserve">           3045,6 кв.м          </t>
  </si>
  <si>
    <t xml:space="preserve">          1389,5 кв.м          </t>
  </si>
  <si>
    <t>Дополнительные услуги (уборка МОП)</t>
  </si>
  <si>
    <t>170руб/лиц. счет</t>
  </si>
  <si>
    <t>100м2</t>
  </si>
  <si>
    <t xml:space="preserve">      ул. Чичерина д. 19</t>
  </si>
  <si>
    <t xml:space="preserve">          2013,2 кв.м          </t>
  </si>
  <si>
    <t xml:space="preserve">           2979,7 кв.м          </t>
  </si>
  <si>
    <t xml:space="preserve">      ул. Тельмана  д. 10    </t>
  </si>
  <si>
    <t>без нежилого</t>
  </si>
  <si>
    <t>130руб/               лиц.счет</t>
  </si>
  <si>
    <t>Дополнительные услуги                                                           (уборка мест общего пользовния)</t>
  </si>
  <si>
    <t xml:space="preserve">      ул. Московская д. 167  </t>
  </si>
  <si>
    <t xml:space="preserve">          3424,3 кв.м          </t>
  </si>
  <si>
    <t xml:space="preserve">7. </t>
  </si>
  <si>
    <t>Электроэнергия на содержание ОИ -ЭЭ</t>
  </si>
  <si>
    <t>расчетный тариф</t>
  </si>
  <si>
    <t xml:space="preserve">Расходы по обслуживанию крышной котельной </t>
  </si>
  <si>
    <t>Электроэнергия, содержание ОИ -эл/эн</t>
  </si>
  <si>
    <t>Замена запорной арматуры ГВС</t>
  </si>
  <si>
    <t>Замена светильников</t>
  </si>
  <si>
    <t xml:space="preserve">      ул.А.Королева д.29</t>
  </si>
  <si>
    <t xml:space="preserve">      ул.Суворова д.153 корп.5</t>
  </si>
  <si>
    <t xml:space="preserve">      ул.65 лет Победы д.29</t>
  </si>
  <si>
    <t xml:space="preserve">3530,6 кв.м          </t>
  </si>
  <si>
    <t>Замена фрагмента трубы на системе ХВС</t>
  </si>
  <si>
    <t xml:space="preserve">        4567.60 кв.м          </t>
  </si>
  <si>
    <t>Электроэнергия, электроэнергия на СОИ</t>
  </si>
  <si>
    <t>Допуслуги</t>
  </si>
  <si>
    <t>Доп.услуги (обслуживание крышной котельной)</t>
  </si>
  <si>
    <t xml:space="preserve">      ул.Солнечный бульвар, д. 20</t>
  </si>
  <si>
    <t xml:space="preserve">         8435.90 кв.м          </t>
  </si>
  <si>
    <t xml:space="preserve">          2672,9 кв.м          </t>
  </si>
  <si>
    <t>с Октября</t>
  </si>
  <si>
    <t xml:space="preserve"> 619,81 кв.м          </t>
  </si>
  <si>
    <t xml:space="preserve">           734.50 кв.м          </t>
  </si>
  <si>
    <t>Доп.услуги</t>
  </si>
  <si>
    <t>Остаток средств на проведение капитального ремонта по состоянию на 31.01.2021 г.</t>
  </si>
  <si>
    <t>Остаток средств на проведение текущего ремонта по состоянию на 31.01.2021 г.</t>
  </si>
  <si>
    <t>начислений нет</t>
  </si>
  <si>
    <t>Доп. услуги (подъезд №2)</t>
  </si>
  <si>
    <t xml:space="preserve">Ремонт общего имущества </t>
  </si>
  <si>
    <t>Дополнительные услуги                                                           (уборка мест общего пользования)</t>
  </si>
  <si>
    <t>Дополнительные услуги (на лицевой счет)</t>
  </si>
  <si>
    <t>1.14.</t>
  </si>
  <si>
    <t xml:space="preserve">3582,4 кв.м          </t>
  </si>
  <si>
    <t>неж</t>
  </si>
  <si>
    <t xml:space="preserve">           2559,1 кв.м          </t>
  </si>
  <si>
    <t>50 квартир</t>
  </si>
  <si>
    <t xml:space="preserve">           898,4 кв.м          </t>
  </si>
  <si>
    <t xml:space="preserve">3919,4 кв.м          </t>
  </si>
  <si>
    <t xml:space="preserve">           799,9 кв.м          </t>
  </si>
  <si>
    <t xml:space="preserve">           719,0 кв.м          </t>
  </si>
  <si>
    <t xml:space="preserve">           1278,2 кв.м          </t>
  </si>
  <si>
    <t xml:space="preserve">           1994,6 кв.м          </t>
  </si>
  <si>
    <t xml:space="preserve">          2552,4 кв.м          </t>
  </si>
  <si>
    <t>Допуслуги (уборка МОП)</t>
  </si>
  <si>
    <t xml:space="preserve">      ул.Кооперативная д.1/2</t>
  </si>
  <si>
    <t xml:space="preserve">7582,1 кв.м          </t>
  </si>
  <si>
    <t>Доп.услуги (уборка МОП)</t>
  </si>
  <si>
    <t>8.0.</t>
  </si>
  <si>
    <t xml:space="preserve">Размещение оборудования операторами связи </t>
  </si>
  <si>
    <t>учтена</t>
  </si>
  <si>
    <t>9.</t>
  </si>
  <si>
    <t>Дверь ПВХ</t>
  </si>
  <si>
    <t>Размещение оборудования операторами связи</t>
  </si>
  <si>
    <t>Содержание и обслуживание крышной котельной</t>
  </si>
  <si>
    <t xml:space="preserve">      ул.Нефтебаза д.6</t>
  </si>
  <si>
    <t>Доп. Услуги (уборка моп на лицевой счет)</t>
  </si>
  <si>
    <t>2.1.</t>
  </si>
  <si>
    <t>2.2.</t>
  </si>
  <si>
    <t>1.15.</t>
  </si>
  <si>
    <t>2.0.</t>
  </si>
  <si>
    <t>договор с ООО "РТК-сервис"</t>
  </si>
  <si>
    <t>1.16.</t>
  </si>
  <si>
    <t>1.17.</t>
  </si>
  <si>
    <t>1.18.</t>
  </si>
  <si>
    <t>2.3.</t>
  </si>
  <si>
    <t>2.4.</t>
  </si>
  <si>
    <t>Обслуживание по договору</t>
  </si>
  <si>
    <t xml:space="preserve">2. </t>
  </si>
  <si>
    <t>Дополнительные услуги (уборка моп на лицевой счет)</t>
  </si>
  <si>
    <t>Плановый   ремонт общего имущества</t>
  </si>
  <si>
    <t>Плановый  ремонт общего имущества</t>
  </si>
  <si>
    <t>Плановый ремонт общего имущества</t>
  </si>
  <si>
    <t>Начисление и оплата за обслуживание КПУ включена в содержание общего имущества</t>
  </si>
  <si>
    <t>Долг населения на 31.01.2022 г.</t>
  </si>
  <si>
    <t>Остаток средств на проведение капитального ремонта по состоянию на 31.01.2022 г.</t>
  </si>
  <si>
    <t>Остаток средств на проведение текущего ремонта по состоянию на 31.01.2022 г.</t>
  </si>
  <si>
    <r>
      <t xml:space="preserve">          </t>
    </r>
    <r>
      <rPr>
        <u val="single"/>
        <sz val="11"/>
        <color indexed="10"/>
        <rFont val="Times New Roman"/>
        <family val="1"/>
      </rPr>
      <t xml:space="preserve"> 1622,80 кв.м       </t>
    </r>
    <r>
      <rPr>
        <u val="single"/>
        <sz val="11"/>
        <rFont val="Times New Roman"/>
        <family val="1"/>
      </rPr>
      <t xml:space="preserve">   </t>
    </r>
  </si>
  <si>
    <t>1902,11/12,54</t>
  </si>
  <si>
    <t>12,54/1902,11</t>
  </si>
  <si>
    <t xml:space="preserve">          3410,7 кв.м          </t>
  </si>
  <si>
    <t xml:space="preserve">           4573,69 кв.м          </t>
  </si>
  <si>
    <t xml:space="preserve">           3121,8 кв.м          </t>
  </si>
  <si>
    <t xml:space="preserve">          3367,9 кв.м          </t>
  </si>
  <si>
    <t>130 руб./            лиц.счет</t>
  </si>
  <si>
    <t xml:space="preserve">           2863,9 кв.м          </t>
  </si>
  <si>
    <t>Дополнительные услуги (уборка МОП  кв. 31-45;61-75)</t>
  </si>
  <si>
    <t>100 руб.             /лиц.счет</t>
  </si>
  <si>
    <t xml:space="preserve">         1788,4 кв.м          </t>
  </si>
  <si>
    <t>Дополнительные услуги (уборка МОП  кв.13-24)</t>
  </si>
  <si>
    <t>110 руб./лиц.счет</t>
  </si>
  <si>
    <t>Дополнительные услуги (установка узла учета тепловой энергии)</t>
  </si>
  <si>
    <t xml:space="preserve">          3136,5 кв.м          </t>
  </si>
  <si>
    <t xml:space="preserve">        5660,5 кв.м          </t>
  </si>
  <si>
    <t xml:space="preserve"> 4381,1 кв.м          </t>
  </si>
  <si>
    <t xml:space="preserve">           1903,00 кв.м          </t>
  </si>
  <si>
    <t xml:space="preserve">          3268,9 кв.м          </t>
  </si>
  <si>
    <t>140 руб./лиц.счет</t>
  </si>
  <si>
    <t xml:space="preserve"> 1347,9 кв.м          </t>
  </si>
  <si>
    <t xml:space="preserve">2607,10 кв.м          </t>
  </si>
  <si>
    <t xml:space="preserve">          1990,85 кв.м          </t>
  </si>
  <si>
    <t xml:space="preserve">          2380,5 кв.м          </t>
  </si>
  <si>
    <t>Уборка МОП     (140 руб/лицевой счет)</t>
  </si>
  <si>
    <t xml:space="preserve">         899,5 кв.м          </t>
  </si>
  <si>
    <t xml:space="preserve">   4535,3 кв.м          </t>
  </si>
  <si>
    <t xml:space="preserve">   3178,1 кв.м          </t>
  </si>
  <si>
    <t xml:space="preserve">       10251,3 кв.м          </t>
  </si>
  <si>
    <t>12,54/39,62</t>
  </si>
  <si>
    <t xml:space="preserve">       9162,0 кв.м          </t>
  </si>
  <si>
    <t xml:space="preserve">3309,60 кв.м          </t>
  </si>
  <si>
    <t>Остаток средств на проведение текущего ремонта по состоянию на 31.01.2022г.</t>
  </si>
  <si>
    <t>39,62/1902,11/12,54</t>
  </si>
  <si>
    <t xml:space="preserve">      ул.Грабцевское шоссе д.78</t>
  </si>
  <si>
    <t xml:space="preserve">      ул.Грабцевское шоссе д.77</t>
  </si>
  <si>
    <t xml:space="preserve">      ул.Парижской Коммуны д.1а</t>
  </si>
  <si>
    <t>170 руб./лиц.счет</t>
  </si>
  <si>
    <t xml:space="preserve">Доп. Услуги </t>
  </si>
  <si>
    <t xml:space="preserve">          5353,8 кв.м          </t>
  </si>
  <si>
    <t>справочно:</t>
  </si>
  <si>
    <t xml:space="preserve">Размещение оборудования операторами связи      </t>
  </si>
  <si>
    <t>Материал для субботника</t>
  </si>
  <si>
    <t>Услуги по проведению периодической поверки узла учета тепловой энергии</t>
  </si>
  <si>
    <t>"      "                   2022 год</t>
  </si>
  <si>
    <t>Краска фасадная для субботника</t>
  </si>
  <si>
    <t>Ремонт межпанельных швов</t>
  </si>
  <si>
    <t>Материалы для субботника</t>
  </si>
  <si>
    <t>Остаток денежных средств от ЖРЭУ №21</t>
  </si>
  <si>
    <t>комп.</t>
  </si>
  <si>
    <t>Замена освещения в подъездах</t>
  </si>
  <si>
    <t>Насос циркуляционный</t>
  </si>
  <si>
    <t>Замена автомата в подъезде</t>
  </si>
  <si>
    <t>Замена фрагмента трубы на системе ХВС в подвале дома</t>
  </si>
  <si>
    <t>Клапан предохранительный регулирующий</t>
  </si>
  <si>
    <t>Смена труб канализации</t>
  </si>
  <si>
    <t>Инвентарь для уборки подъездов</t>
  </si>
  <si>
    <t>Услуги по проведению периодической поверки узла учета  тепловой энергии</t>
  </si>
  <si>
    <t>с учетом оплаты и выполненных работ по допуслугам по монтажу узла учета  тепловой энергии за 2020 год</t>
  </si>
  <si>
    <t>Возмещение расходов по аренде  нежилого помещения в подвале дома</t>
  </si>
  <si>
    <t xml:space="preserve">договор </t>
  </si>
  <si>
    <t>Обслуживание и ремонт крышной газовой котельной</t>
  </si>
  <si>
    <t>1.19.</t>
  </si>
  <si>
    <t>Содержание и обслуживание  крышной котельной</t>
  </si>
  <si>
    <t>Замена проводки в подвале дома</t>
  </si>
  <si>
    <t>Завоз земли</t>
  </si>
  <si>
    <t>Остаток средств на проведение текущего ремонта (вместе с расходами по обслуживанию  крышной котельной) по состоянию на 31.01.2022 г.</t>
  </si>
  <si>
    <t>Остаток средств на содержание и обслуживание крышной котельной по  состоянию на 31.01.22 г.</t>
  </si>
  <si>
    <t>перед собственниками помещений о выполнении договора управления многоквартирным домом за 2022 год</t>
  </si>
  <si>
    <t>Начислено за 2022 г., руб.</t>
  </si>
  <si>
    <t>Поступило средств за 2022 г., руб.</t>
  </si>
  <si>
    <t>Выполнены работы за 2022 г., руб.</t>
  </si>
  <si>
    <t>Задолженность населения за 2022г.</t>
  </si>
  <si>
    <t>6,0/5,51</t>
  </si>
  <si>
    <t>2638,80/2420,96</t>
  </si>
  <si>
    <t>211,65/194,17</t>
  </si>
  <si>
    <t>57,08/52,37</t>
  </si>
  <si>
    <t>Долг населения на 31.01.2023 г.</t>
  </si>
  <si>
    <t xml:space="preserve">           4711,7 кв.м          </t>
  </si>
  <si>
    <t>Остаток средств на проведение капитального ремонта по состоянию на 31.01.2023 г.</t>
  </si>
  <si>
    <t>Остаток средств на проведение текущего ремонта по состоянию на 31.01.2023 г.</t>
  </si>
  <si>
    <t xml:space="preserve">           2811,50 кв.м          </t>
  </si>
  <si>
    <t>Долг населения на 31.01.2023г.</t>
  </si>
  <si>
    <r>
      <t xml:space="preserve">          </t>
    </r>
    <r>
      <rPr>
        <u val="single"/>
        <sz val="11"/>
        <color indexed="10"/>
        <rFont val="Times New Roman"/>
        <family val="1"/>
      </rPr>
      <t xml:space="preserve"> 3554,0 кв.м    </t>
    </r>
    <r>
      <rPr>
        <u val="single"/>
        <sz val="11"/>
        <rFont val="Times New Roman"/>
        <family val="1"/>
      </rPr>
      <t xml:space="preserve">      </t>
    </r>
  </si>
  <si>
    <t xml:space="preserve">           3503,2 кв.м          </t>
  </si>
  <si>
    <t>Остаток средств на проведение капитального ремонта по состоянию на 31.01.2022г.</t>
  </si>
  <si>
    <t xml:space="preserve">         2545,3 кв.м          </t>
  </si>
  <si>
    <t>Доп.услуги (на лиц.счет)</t>
  </si>
  <si>
    <t xml:space="preserve">Горячее водоснабжение </t>
  </si>
  <si>
    <t xml:space="preserve">        7734,2 кв.м          </t>
  </si>
  <si>
    <t xml:space="preserve">Горячее водоснабжение  </t>
  </si>
  <si>
    <t>2167,15/2120,10</t>
  </si>
  <si>
    <t>169,02/163,29</t>
  </si>
  <si>
    <t>4,20/3,86</t>
  </si>
  <si>
    <t>Ремонт общего имущества нежилые помещения за период 2022г.</t>
  </si>
  <si>
    <t>Остаток средств на проведение текущего ремонта по состоянию на 31.01.2023 г. (с учетом нежилых помещений)</t>
  </si>
  <si>
    <t>Установка устройства аварийного освещения лифта</t>
  </si>
  <si>
    <t>компл.</t>
  </si>
  <si>
    <t xml:space="preserve">Комплект автоматики для распашных ворот </t>
  </si>
  <si>
    <t>Монтаж комплекта автоматизации распашных ворот</t>
  </si>
  <si>
    <t>Хомут ремонтный оцинкованный</t>
  </si>
  <si>
    <t>м</t>
  </si>
  <si>
    <t>Стеклопакет</t>
  </si>
  <si>
    <t>Доводчик дверной</t>
  </si>
  <si>
    <t>Таблички</t>
  </si>
  <si>
    <t>"      "                   2023 год</t>
  </si>
  <si>
    <t>Нежилые помещения, 2022 год</t>
  </si>
  <si>
    <t xml:space="preserve">           1283,3 кв.м          </t>
  </si>
  <si>
    <t xml:space="preserve">         1740,6 кв.м          </t>
  </si>
  <si>
    <t>120 руб/лиц.счет</t>
  </si>
  <si>
    <t xml:space="preserve">Уборка МОП </t>
  </si>
  <si>
    <t xml:space="preserve">          4136,5 кв.м          </t>
  </si>
  <si>
    <t xml:space="preserve">           3397,3 кв.м          </t>
  </si>
  <si>
    <t xml:space="preserve">           1818,5 кв.м          </t>
  </si>
  <si>
    <t>Остаток средств на проведение капитального ремонта по состоянию на 31.01.22 г.</t>
  </si>
  <si>
    <t>Остаток средств на проведение текущего ремонта по состоянию на 31.01.22 г.</t>
  </si>
  <si>
    <t xml:space="preserve">           3346,8 кв.м          </t>
  </si>
  <si>
    <t>170 руб</t>
  </si>
  <si>
    <t>Уборка МОП (на лицевой счет)</t>
  </si>
  <si>
    <t>Начисление и оплата за уборку МОП  включена в содержание общего имущества</t>
  </si>
  <si>
    <t>Дополнительные услуги (на лиц.счет уборка моп)</t>
  </si>
  <si>
    <t>Дополнительные услуги (на лиц.счет уборка МОП)</t>
  </si>
  <si>
    <t>Остаток средств на проведение капитального ремонта по состоянию на 01.02.2022 г.</t>
  </si>
  <si>
    <t>Остаток средств на проведение текущего ремонта по состоянию на 01.02.2022 г.</t>
  </si>
  <si>
    <t xml:space="preserve">           5284 кв.м          </t>
  </si>
  <si>
    <t>5511,8 кв.м.</t>
  </si>
  <si>
    <t xml:space="preserve">           5249,6 кв.м          </t>
  </si>
  <si>
    <t>Доп услуги (уборка МОП) на лицевой счет</t>
  </si>
  <si>
    <t xml:space="preserve">           1597,7 кв.м          </t>
  </si>
  <si>
    <t>Остаток средст на проведение текущего ремонта по состоянию на 31.01.2022 г.</t>
  </si>
  <si>
    <t xml:space="preserve">           2740,6 кв.м          </t>
  </si>
  <si>
    <t xml:space="preserve">           4252,3 кв.м          </t>
  </si>
  <si>
    <t xml:space="preserve">           2675,1 кв.м          </t>
  </si>
  <si>
    <t xml:space="preserve">          2074,11 кв.м          </t>
  </si>
  <si>
    <t xml:space="preserve">         2406,9 кв.м          </t>
  </si>
  <si>
    <t>Остаток средсты на проведение капитального ремонта по состоянию на 31.01.2023 г.</t>
  </si>
  <si>
    <t xml:space="preserve">          3842,5 кв.м          </t>
  </si>
  <si>
    <t xml:space="preserve">        4746,8   кв.м          </t>
  </si>
  <si>
    <t>в том числе жилых помещений:</t>
  </si>
  <si>
    <t xml:space="preserve">        3906,3   кв.м          </t>
  </si>
  <si>
    <t xml:space="preserve">         3190,8 кв.м          </t>
  </si>
  <si>
    <t>Остаток средств на проведение капитального ремонта по состоянию на 31.12.2022 г.</t>
  </si>
  <si>
    <t>Остаток средств на проведение текущего ремонта по состоянию на 31.12.2022 г.</t>
  </si>
  <si>
    <t>1802,64/1654,26</t>
  </si>
  <si>
    <t xml:space="preserve">        4079,7 кв.м          </t>
  </si>
  <si>
    <t xml:space="preserve"> 15651,7   кв.м. </t>
  </si>
  <si>
    <t>4,20/6,0</t>
  </si>
  <si>
    <t>179,86/173,89</t>
  </si>
  <si>
    <t xml:space="preserve">         9381,4 кв.м          </t>
  </si>
  <si>
    <t>ул. Солнечный бульвар д.4 корп.1</t>
  </si>
  <si>
    <t xml:space="preserve">        2510,46 кв.м          </t>
  </si>
  <si>
    <t xml:space="preserve"> ул. Солнечный бульвар д. 4корп.2</t>
  </si>
  <si>
    <t>тариф расчетный</t>
  </si>
  <si>
    <t>Остаток средств на проведение текущего ремонта (вместе с расходами по обслуживанию  крышной котельной) по состоянию на 31.01.2023 г.</t>
  </si>
  <si>
    <t xml:space="preserve">           621,6 кв.м          </t>
  </si>
  <si>
    <t>Остаток средств на проведение текущего ремонта по состоянию на 01.04.2022 г.</t>
  </si>
  <si>
    <t>2638,8/2420,96</t>
  </si>
  <si>
    <t>Допуслуги (уборка МОП кв.21-50)</t>
  </si>
  <si>
    <t xml:space="preserve">           2517 кв.м          </t>
  </si>
  <si>
    <t xml:space="preserve">           3707,1 кв.м          </t>
  </si>
  <si>
    <t>статок средств на проведение текущего ремонта по состоянию на 31.01.2023 г.</t>
  </si>
  <si>
    <t xml:space="preserve">          1787,9 кв.м          </t>
  </si>
  <si>
    <t>Доп. Услуги (уборка МОП)</t>
  </si>
  <si>
    <t>Остаток средств на проведение текущего ремонта по состоянию на 31.01.2023г.</t>
  </si>
  <si>
    <t>205,05/188,12</t>
  </si>
  <si>
    <t xml:space="preserve">   3296,6 кв.м          </t>
  </si>
  <si>
    <t xml:space="preserve">    4425,28 кв.м          </t>
  </si>
  <si>
    <t xml:space="preserve">3080,9 кв.м          </t>
  </si>
  <si>
    <t>Остаток средств на проведение планового ремонта по состоянию на 31.01.22 г.</t>
  </si>
  <si>
    <t>Остаток средств накопления на плановый ремонт по состоянию на 31.01.2023 г.</t>
  </si>
  <si>
    <t xml:space="preserve">       15426,8 кв.м          </t>
  </si>
  <si>
    <t>2616,05/2400,07</t>
  </si>
  <si>
    <t xml:space="preserve">       9130,2 кв.м          </t>
  </si>
  <si>
    <t>Остаток средств на проведение текущего ремонта по состоянию на 01.01.22 г.</t>
  </si>
  <si>
    <t>Остаток средств на содержание и обслуживание крышной котельной по  состоянию на 01.01.22 г.</t>
  </si>
  <si>
    <t>Остаток средств на содержание крышной котельной по  состоянию на 31.01.23 г.</t>
  </si>
  <si>
    <t>Остаток средств на содержание и обслуживание крышной котельной по  состоянию на 31.01.23 г.</t>
  </si>
  <si>
    <t>6,00/5,51</t>
  </si>
  <si>
    <t xml:space="preserve">1739,7 кв.м          </t>
  </si>
  <si>
    <t xml:space="preserve">3115,9 кв.м          </t>
  </si>
  <si>
    <t xml:space="preserve">5555,4 кв.м          </t>
  </si>
  <si>
    <t>Доп (уборка МОП)</t>
  </si>
  <si>
    <t>5,60/5,51</t>
  </si>
  <si>
    <t>Остаток средств планового ремонта по состоянию на 31.01.2023 г.</t>
  </si>
  <si>
    <t xml:space="preserve">5661,85 кв.м          </t>
  </si>
  <si>
    <t>Остаток средств на проведение текущего ремонта по состоянию на 01.05.22 г.</t>
  </si>
  <si>
    <t xml:space="preserve">22784,8 кв.м          </t>
  </si>
  <si>
    <t>Горячее водоснабжение (прямые расчеты)</t>
  </si>
  <si>
    <t xml:space="preserve">2538,4 кв.м          </t>
  </si>
  <si>
    <t xml:space="preserve">2022,31 кв.м          </t>
  </si>
  <si>
    <t>Остаток средств на проведение текущего ремонта по состоянию на 01.12.22 г.</t>
  </si>
  <si>
    <t>198,45/182,07</t>
  </si>
  <si>
    <t xml:space="preserve">3337,4 кв.м          </t>
  </si>
  <si>
    <t xml:space="preserve">4611,8 кв.м          </t>
  </si>
  <si>
    <t xml:space="preserve">1636,5 кв.м          </t>
  </si>
  <si>
    <t xml:space="preserve">      ул.Октябрьская д.8</t>
  </si>
  <si>
    <t xml:space="preserve">3542,3 кв.м          </t>
  </si>
  <si>
    <t xml:space="preserve">      ул.А.Королева, д.27</t>
  </si>
  <si>
    <t xml:space="preserve">4789,6 кв.м          </t>
  </si>
  <si>
    <t>Размещение оборудования провайдерами</t>
  </si>
  <si>
    <t>9.0.</t>
  </si>
  <si>
    <t>Корпус замка, петля для металлических дверей, подшипник,ручка</t>
  </si>
  <si>
    <t>Кабель силовой, трубагофрированная с зондом, дюбель-хомут</t>
  </si>
  <si>
    <t>Прожектор</t>
  </si>
  <si>
    <t>Покрытие щетинистое</t>
  </si>
  <si>
    <t>пог.м.</t>
  </si>
  <si>
    <t>Порог-стык алюминевый</t>
  </si>
  <si>
    <t>Кран шаровыйразборный</t>
  </si>
  <si>
    <t>Замена электромагнитного замка</t>
  </si>
  <si>
    <t>усл.</t>
  </si>
  <si>
    <t>Разработка проекта перепланировки помещений 1 этажа</t>
  </si>
  <si>
    <t>Монтаж входной двери</t>
  </si>
  <si>
    <t>Замена труб ГВС по подвалу дома</t>
  </si>
  <si>
    <t>Замена тяговых канатовна пассажирском лифте</t>
  </si>
  <si>
    <t>Краска для фасада</t>
  </si>
  <si>
    <t>кг</t>
  </si>
  <si>
    <t>Демонтаж козырьков, изготовление, покраска и монтаж металлических козырьков, п.2,3</t>
  </si>
  <si>
    <t>Покраска дверей</t>
  </si>
  <si>
    <t>Лампа энергосберегающая</t>
  </si>
  <si>
    <t>Светильник ЛБО</t>
  </si>
  <si>
    <t>Светильник светодиодный ДПО</t>
  </si>
  <si>
    <t>Тачка строительная с пневматическими колесами</t>
  </si>
  <si>
    <t>Герметизация межпанельных швов (кв.100,134,163,164,165,168,171,202,218,23)</t>
  </si>
  <si>
    <t>Замена КВШ тяговых канатов на лифте (под.3)</t>
  </si>
  <si>
    <t>Изготовление и установка металлической двери с утеплителем и системой АудиоДомофон</t>
  </si>
  <si>
    <t>Замена запорной арматуры на ЦО</t>
  </si>
  <si>
    <t>Замена трубопровода ЦО в подвале дома</t>
  </si>
  <si>
    <t>Вывоз мусора</t>
  </si>
  <si>
    <t>час</t>
  </si>
  <si>
    <t>Замена уличных фонарей</t>
  </si>
  <si>
    <t>Услуги по обращению с отходами (вывоз мусора)</t>
  </si>
  <si>
    <t>Вывоз веток</t>
  </si>
  <si>
    <t>Смена ввода трубопровода ХВС</t>
  </si>
  <si>
    <t>Замена трубопровода ХВС  (кв.20)</t>
  </si>
  <si>
    <t>Замена кранов на цо в подвале дома</t>
  </si>
  <si>
    <t>Материал для покраски дверей входной группы</t>
  </si>
  <si>
    <t>Материал для покраски подвальных дверей</t>
  </si>
  <si>
    <t>Вырубка кустарников</t>
  </si>
  <si>
    <t>Замена запорной арматуры ЦО</t>
  </si>
  <si>
    <t>Гидропломба</t>
  </si>
  <si>
    <t>Замена фрагмента трубы канализации</t>
  </si>
  <si>
    <t>Светильник уличный</t>
  </si>
  <si>
    <t>Ремонт цоколя (под,3)</t>
  </si>
  <si>
    <t>Замена КВШ и тяговых канатов (под.2)</t>
  </si>
  <si>
    <t>Светильник</t>
  </si>
  <si>
    <t>Изготовление,покраска и монтаж мет решеток на окнах подвальных помещений</t>
  </si>
  <si>
    <t>Замена выпуска на системе канализации в подвале дома</t>
  </si>
  <si>
    <t>Соль таблетированная для химической прочистки системы ЦО перед началом отопительного сезона</t>
  </si>
  <si>
    <t xml:space="preserve">Соль таблетированная для химической прочистки системы ГВС </t>
  </si>
  <si>
    <t>Антипарковочная полусфера</t>
  </si>
  <si>
    <t>Лампа</t>
  </si>
  <si>
    <t>Замена автоматов в подъездах</t>
  </si>
  <si>
    <t>Реагент для удаления известковых и коорозионных отложений, промывка теплообменника системы ЦО</t>
  </si>
  <si>
    <t>Реагент для удаления известковых и коорозионных отложений, промывка теплообменника системы ГВС</t>
  </si>
  <si>
    <t>Изделия из ПВХ с доставкой</t>
  </si>
  <si>
    <t>Урна уличная</t>
  </si>
  <si>
    <t>Блок терморегулирования  двухконтурный</t>
  </si>
  <si>
    <t>Наличник гладкий, клей плиточный, гранит керамический, стык</t>
  </si>
  <si>
    <t>Изготовление, покраска, монтаж решеток на окнах подвальных помещений</t>
  </si>
  <si>
    <t>Замена фрагмента трубы на системе ХВс в подвале дома</t>
  </si>
  <si>
    <t>Реагент для удаления известковых и коорозионных отложений, промывка теплообменника на системе ЦО</t>
  </si>
  <si>
    <t>Насос (под,5)</t>
  </si>
  <si>
    <t>Монтажные работы насоса (под.5)</t>
  </si>
  <si>
    <t>Диагностика и ремонт неисправности на узле учета тепла</t>
  </si>
  <si>
    <t>Смена фановых труб (кв.32,77,96)</t>
  </si>
  <si>
    <t>Косметический ремонт подъездов (под.1,2,3,4)</t>
  </si>
  <si>
    <t>Замена запорной арматуры на систее ХВС в подвале дома</t>
  </si>
  <si>
    <t>Змена автомата в подъезде</t>
  </si>
  <si>
    <t>Консультационные юридические услуги</t>
  </si>
  <si>
    <t>Утепление стен</t>
  </si>
  <si>
    <t>Ремонт крыши входа в подвал</t>
  </si>
  <si>
    <t>Замена автоматических выключателей</t>
  </si>
  <si>
    <t>Замена фрагмента трубы на системе канализации в подвале дома</t>
  </si>
  <si>
    <t>Услуги по проведениюпериодической поверки узла учета тепловой энергии</t>
  </si>
  <si>
    <t xml:space="preserve">Кран шаровый разборный </t>
  </si>
  <si>
    <t>Замена трубына системе ХВС в подвале дома</t>
  </si>
  <si>
    <t>Обследование крыши</t>
  </si>
  <si>
    <t>Замена запорной арматурына системе ХВС в подвале дома</t>
  </si>
  <si>
    <t>Ремонт шиферной кровли</t>
  </si>
  <si>
    <t>Смена радиатора (кв.44)</t>
  </si>
  <si>
    <t>Замена дверного доводчика</t>
  </si>
  <si>
    <t>Плата</t>
  </si>
  <si>
    <t>Датчики движения влагозащитные</t>
  </si>
  <si>
    <t>Диагностика и ремонт насосной станции Антарус</t>
  </si>
  <si>
    <t>Кран шаровый</t>
  </si>
  <si>
    <t>Светильник уличный  (под.4)</t>
  </si>
  <si>
    <t xml:space="preserve">Светильник уличный </t>
  </si>
  <si>
    <t>Замена воздухоотводчика (кв.108)</t>
  </si>
  <si>
    <t>Ремонт трубы канализации (под.1)</t>
  </si>
  <si>
    <t>Замена запорной арматуры на системе ГВС (кв.37)</t>
  </si>
  <si>
    <t>Замена запорной арматуры,замена манометров в подвале дома</t>
  </si>
  <si>
    <t>Устройство манометра на системе ГВС в подвале дома</t>
  </si>
  <si>
    <t>Замна энкодера оптического на лифте (под.7)</t>
  </si>
  <si>
    <t>Герметизация деформационных швов</t>
  </si>
  <si>
    <t>Монтаж забора из 3Д сетки высотой  2м</t>
  </si>
  <si>
    <t>Устройство асфальтобетонного покрытия на объекте</t>
  </si>
  <si>
    <t>Краска для субботника</t>
  </si>
  <si>
    <t>товарная накадная</t>
  </si>
  <si>
    <t>Покраска песочницы</t>
  </si>
  <si>
    <t>Изготовление и установка металлического забора с автоматическими воротами</t>
  </si>
  <si>
    <t>Электромагнитный замок , установка и подключение замка, монтажные материалы</t>
  </si>
  <si>
    <t>счет</t>
  </si>
  <si>
    <t>Краска  для субботника</t>
  </si>
  <si>
    <t>Смена трубопровода цо (кв.46-49)</t>
  </si>
  <si>
    <t>Комплект термопреобразователей</t>
  </si>
  <si>
    <t>к-т</t>
  </si>
  <si>
    <t>Замена трубопровода ХВС (кв.37)</t>
  </si>
  <si>
    <t>Лицензия для сдачи отчетности</t>
  </si>
  <si>
    <t>Права использования системы СБИС модуль (электронная подпись)</t>
  </si>
  <si>
    <t>Услуги по проведению периодической поверки узла учета тепловой энргии</t>
  </si>
  <si>
    <t>Услуги автовышки</t>
  </si>
  <si>
    <t>Смена радиатора (кв.13)</t>
  </si>
  <si>
    <t>Замена уличного светильника</t>
  </si>
  <si>
    <t>Смена радиатора ЦО (кв.8)</t>
  </si>
  <si>
    <t>Установка лавки</t>
  </si>
  <si>
    <t>100м3</t>
  </si>
  <si>
    <t>Косметический ремонт подъездов</t>
  </si>
  <si>
    <t>Шланг армированный</t>
  </si>
  <si>
    <t>рул</t>
  </si>
  <si>
    <t>Замена светильников на лестничный клетках (1-8этажи)</t>
  </si>
  <si>
    <t>Коврик влаговпитывающий, ребристый 60*90</t>
  </si>
  <si>
    <t xml:space="preserve">100м </t>
  </si>
  <si>
    <t>Выключатель автоматический</t>
  </si>
  <si>
    <t>Замена трубопровода ЦО</t>
  </si>
  <si>
    <t>Песочница</t>
  </si>
  <si>
    <t>Замена радиатора (кв.32)</t>
  </si>
  <si>
    <t>Клапан обратный ПВХ ручного регулирования с ревизией</t>
  </si>
  <si>
    <t>Валка и обрезка деревьев</t>
  </si>
  <si>
    <t>Смена трубопровода (кв.1,7)</t>
  </si>
  <si>
    <t>Замена трубопроводов ГВС и ХВС (кв.15,21)</t>
  </si>
  <si>
    <t>Смена ламп накаливания</t>
  </si>
  <si>
    <t>Покраска леерного ограждения</t>
  </si>
  <si>
    <t>Материалы для благоустройства</t>
  </si>
  <si>
    <t>Установка уличного светильника</t>
  </si>
  <si>
    <t>Валка деревьев</t>
  </si>
  <si>
    <t>Ремонт межпанельных швов (кв.14)</t>
  </si>
  <si>
    <t>Замена трубопровода ХВС по подвалу дома</t>
  </si>
  <si>
    <t>Смена радиатора ЦО (кв.18)</t>
  </si>
  <si>
    <t>Смена радиатора ЦО (кв.23)</t>
  </si>
  <si>
    <t>Смена радиатора ЦО (кв.4)</t>
  </si>
  <si>
    <t>Дезинсекция и дератизация</t>
  </si>
  <si>
    <t>Демонтаж бетонного козырька,изготовление,покраска и монтаж металлического козырька</t>
  </si>
  <si>
    <t>Покраска входной двери</t>
  </si>
  <si>
    <t>банка</t>
  </si>
  <si>
    <t>Замена трубопровода ХВС</t>
  </si>
  <si>
    <t>Ремонт 2 категории МастерФлоу (пропайка платы, замена патрона)</t>
  </si>
  <si>
    <t>товарная-накладная</t>
  </si>
  <si>
    <t>Замена трубопровода канализации (под.3)</t>
  </si>
  <si>
    <t>Восстановление освещения подвального помещения (под.1-4)</t>
  </si>
  <si>
    <t>Замена трубопроводов ХВС (кв.23,26)</t>
  </si>
  <si>
    <t>Смена трубопровода ЦО (кв.4)</t>
  </si>
  <si>
    <t>"      "                        2023 год</t>
  </si>
  <si>
    <t>Смена трубопровода канализации</t>
  </si>
  <si>
    <t>Разработка проектно-сметной документации объекта</t>
  </si>
  <si>
    <t>Смена радиатора ЦО (ев.8)</t>
  </si>
  <si>
    <t>Краска фасадная</t>
  </si>
  <si>
    <t>Замена трубопровода ХВС (кв.20,34)</t>
  </si>
  <si>
    <t>Замена уличного светильника (под.6)</t>
  </si>
  <si>
    <t>Промывка</t>
  </si>
  <si>
    <t>Радиатор (кв.60)</t>
  </si>
  <si>
    <t>Промывка выпуска канализации</t>
  </si>
  <si>
    <t>Вышка</t>
  </si>
  <si>
    <t>Уборка дерева</t>
  </si>
  <si>
    <t>Ремонт балконной плиты</t>
  </si>
  <si>
    <t>Ремонт колпаков</t>
  </si>
  <si>
    <t>Уборка чердока от строительного мусора вручную</t>
  </si>
  <si>
    <t>чек</t>
  </si>
  <si>
    <t>Ремонт кровли (кв.33)</t>
  </si>
  <si>
    <t>Герметизация вентканалов</t>
  </si>
  <si>
    <t>Промывка системы канализации</t>
  </si>
  <si>
    <t>Ремонт межпанельных швов (кв.64)</t>
  </si>
  <si>
    <t>Ремонт кровли (кв.16)</t>
  </si>
  <si>
    <t>Замена трубопровода ХВС и ливневой канализации (кв.5)</t>
  </si>
  <si>
    <t>Материалы для ремонта балкона (кв.7,10)</t>
  </si>
  <si>
    <t>Ремонт балкона</t>
  </si>
  <si>
    <t>Материалы для ремонта мусоропровода</t>
  </si>
  <si>
    <t>Покраска подъезда</t>
  </si>
  <si>
    <t>Стяжка</t>
  </si>
  <si>
    <t>Услуги вышки</t>
  </si>
  <si>
    <t>Промывка канализационного выпуска</t>
  </si>
  <si>
    <t>Уборка подвала</t>
  </si>
  <si>
    <t>Обрезка деревьев</t>
  </si>
  <si>
    <t>Фановая труба</t>
  </si>
  <si>
    <t>Доводчик</t>
  </si>
  <si>
    <t>Обследование технического состояния лифтов</t>
  </si>
  <si>
    <t xml:space="preserve">Ремонт освещения в подвале </t>
  </si>
  <si>
    <t>Дезинсекция (под.2)</t>
  </si>
  <si>
    <t>Материалы</t>
  </si>
  <si>
    <t>Ремонт входной двери</t>
  </si>
  <si>
    <t>Ремонт фасада</t>
  </si>
  <si>
    <t>Ремонт водостока</t>
  </si>
  <si>
    <t>Заключение о техническом состоянии объекта капитального строительства</t>
  </si>
  <si>
    <t>Акт</t>
  </si>
  <si>
    <t>Брусок 50*50*3000 (кв.49)</t>
  </si>
  <si>
    <t>Ремонт кладки фасада (кв.49)</t>
  </si>
  <si>
    <t>Ремонт балкона (кв.49)</t>
  </si>
  <si>
    <t>Снос дерева</t>
  </si>
  <si>
    <t>Промывка дренажа</t>
  </si>
  <si>
    <t>Ремонт примыканий венканалов</t>
  </si>
  <si>
    <t>Уборка строительного мусора</t>
  </si>
  <si>
    <t>Ремонт двух ливневок</t>
  </si>
  <si>
    <t>Шланг поливочный</t>
  </si>
  <si>
    <t>Поликарбонат</t>
  </si>
  <si>
    <t>Датчик сухого хода</t>
  </si>
  <si>
    <t>Ремонт козырьков (п.1,2)</t>
  </si>
  <si>
    <t>Урна завиток</t>
  </si>
  <si>
    <t>Оргстекло (п.1,2)</t>
  </si>
  <si>
    <t>Выключатель автомат</t>
  </si>
  <si>
    <t>Задвижка 100</t>
  </si>
  <si>
    <t>Ремонт подъезда</t>
  </si>
  <si>
    <t>Герметизация швов (кв.101)</t>
  </si>
  <si>
    <t>Ремонт кровли (кв.106)</t>
  </si>
  <si>
    <t>Кнопка вызова</t>
  </si>
  <si>
    <t>Соль таблетированная</t>
  </si>
  <si>
    <t>Стояк</t>
  </si>
  <si>
    <t>Ремонт шва</t>
  </si>
  <si>
    <t>Штукатурка</t>
  </si>
  <si>
    <t>Промывка выпуска</t>
  </si>
  <si>
    <t>Герметизация примыканий</t>
  </si>
  <si>
    <t>Ремонт кровли входа в подвал</t>
  </si>
  <si>
    <t>Лавки</t>
  </si>
  <si>
    <t>Ремонт козырька</t>
  </si>
  <si>
    <t>Выступ</t>
  </si>
  <si>
    <t>Змена стекол</t>
  </si>
  <si>
    <t>Порог в подъезд (4)</t>
  </si>
  <si>
    <t>Поручень в подъезд (4)</t>
  </si>
  <si>
    <t>Трубы отопления</t>
  </si>
  <si>
    <t>Ремонт козырьков</t>
  </si>
  <si>
    <t>Люк</t>
  </si>
  <si>
    <t>Датчик</t>
  </si>
  <si>
    <t>ИБП</t>
  </si>
  <si>
    <t>Реагент</t>
  </si>
  <si>
    <t>Клапан предохранения</t>
  </si>
  <si>
    <t>Грунт глубокого проникновения</t>
  </si>
  <si>
    <t>Краска акриловая</t>
  </si>
  <si>
    <t>Утепление фасада (кв.144)</t>
  </si>
  <si>
    <t>Подшипники</t>
  </si>
  <si>
    <t>Промывка выпусков</t>
  </si>
  <si>
    <t>Штукатурка, шпатлевка</t>
  </si>
  <si>
    <t>Ремонт кровли (под.2,3)</t>
  </si>
  <si>
    <t>Краска</t>
  </si>
  <si>
    <t>Ремонт трубопровода (нежилое помещение)</t>
  </si>
  <si>
    <t>Единый налог в связи с примененем УСН за 2022 год</t>
  </si>
  <si>
    <t>Вынос мусора (кв.66)</t>
  </si>
  <si>
    <t>Работа спецтехники</t>
  </si>
  <si>
    <t>Ремонт водосточной системы</t>
  </si>
  <si>
    <t>Замок навесной</t>
  </si>
  <si>
    <t>Замена замков в подвале</t>
  </si>
  <si>
    <t>Монтаж насосов</t>
  </si>
  <si>
    <t>Монтаж проводки на техэтаже</t>
  </si>
  <si>
    <t>Заделка отверстий мусоропровода</t>
  </si>
  <si>
    <t>Шов</t>
  </si>
  <si>
    <t>акт</t>
  </si>
  <si>
    <t>Возврат денежных средств за 2019 год</t>
  </si>
  <si>
    <t>Радиаторы (кв.26)</t>
  </si>
  <si>
    <t>Радиаторы (п.2, 12эт)</t>
  </si>
  <si>
    <t>Радиаторы (п.3, 11эт)</t>
  </si>
  <si>
    <t>Радиаторы (п.1, 3, 1эт)</t>
  </si>
  <si>
    <t>Радиаторы (п.2, 8эт)</t>
  </si>
  <si>
    <t>Замена автомата в ВРУ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</si>
</sst>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0000"/>
    <numFmt numFmtId="166" formatCode="#,##0.000"/>
    <numFmt numFmtId="167" formatCode="#,##0.00000"/>
    <numFmt numFmtId="168" formatCode="#,##0.0000"/>
    <numFmt numFmtId="169" formatCode="0.000"/>
    <numFmt numFmtId="170" formatCode="#,##0.000_р_."/>
    <numFmt numFmtId="171" formatCode="0.0"/>
    <numFmt numFmtId="172" formatCode="#,##0.0000_р_."/>
    <numFmt numFmtId="173" formatCode="0.000000"/>
    <numFmt numFmtId="174" formatCode="0.00000"/>
    <numFmt numFmtId="175" formatCode="0.0000"/>
    <numFmt numFmtId="176" formatCode="0.0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u val="single"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7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0" xfId="0" applyFont="1" applyAlignment="1">
      <alignment vertical="top"/>
    </xf>
    <xf numFmtId="16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wrapText="1"/>
    </xf>
    <xf numFmtId="0" fontId="13" fillId="33" borderId="0" xfId="0" applyFont="1" applyFill="1" applyAlignment="1">
      <alignment wrapText="1"/>
    </xf>
    <xf numFmtId="0" fontId="14" fillId="33" borderId="0" xfId="0" applyFont="1" applyFill="1" applyAlignment="1">
      <alignment/>
    </xf>
    <xf numFmtId="4" fontId="11" fillId="33" borderId="10" xfId="0" applyNumberFormat="1" applyFont="1" applyFill="1" applyBorder="1" applyAlignment="1">
      <alignment horizontal="left" wrapText="1"/>
    </xf>
    <xf numFmtId="164" fontId="76" fillId="34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wrapText="1"/>
    </xf>
    <xf numFmtId="164" fontId="11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1" fillId="35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164" fontId="11" fillId="34" borderId="1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left"/>
    </xf>
    <xf numFmtId="16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164" fontId="16" fillId="0" borderId="11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wrapText="1"/>
    </xf>
    <xf numFmtId="4" fontId="11" fillId="0" borderId="0" xfId="0" applyNumberFormat="1" applyFont="1" applyAlignment="1">
      <alignment/>
    </xf>
    <xf numFmtId="0" fontId="16" fillId="0" borderId="0" xfId="0" applyFont="1" applyAlignment="1">
      <alignment/>
    </xf>
    <xf numFmtId="2" fontId="11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4" fontId="11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wrapText="1"/>
    </xf>
    <xf numFmtId="4" fontId="11" fillId="33" borderId="10" xfId="0" applyNumberFormat="1" applyFont="1" applyFill="1" applyBorder="1" applyAlignment="1">
      <alignment wrapText="1"/>
    </xf>
    <xf numFmtId="0" fontId="15" fillId="34" borderId="10" xfId="0" applyFont="1" applyFill="1" applyBorder="1" applyAlignment="1">
      <alignment wrapText="1"/>
    </xf>
    <xf numFmtId="4" fontId="15" fillId="34" borderId="10" xfId="0" applyNumberFormat="1" applyFont="1" applyFill="1" applyBorder="1" applyAlignment="1">
      <alignment wrapText="1"/>
    </xf>
    <xf numFmtId="0" fontId="16" fillId="34" borderId="0" xfId="0" applyFont="1" applyFill="1" applyAlignment="1">
      <alignment wrapText="1"/>
    </xf>
    <xf numFmtId="0" fontId="11" fillId="34" borderId="0" xfId="0" applyFont="1" applyFill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center" wrapText="1"/>
    </xf>
    <xf numFmtId="4" fontId="16" fillId="34" borderId="1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Alignment="1">
      <alignment wrapText="1"/>
    </xf>
    <xf numFmtId="4" fontId="16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" fontId="11" fillId="0" borderId="1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4" fontId="15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4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164" fontId="22" fillId="0" borderId="10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164" fontId="11" fillId="0" borderId="15" xfId="0" applyNumberFormat="1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/>
    </xf>
    <xf numFmtId="170" fontId="11" fillId="0" borderId="10" xfId="0" applyNumberFormat="1" applyFont="1" applyBorder="1" applyAlignment="1">
      <alignment horizontal="center" wrapText="1"/>
    </xf>
    <xf numFmtId="164" fontId="11" fillId="0" borderId="14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23" fillId="0" borderId="0" xfId="0" applyFont="1" applyAlignment="1">
      <alignment/>
    </xf>
    <xf numFmtId="0" fontId="18" fillId="0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164" fontId="11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20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wrapText="1"/>
    </xf>
    <xf numFmtId="164" fontId="11" fillId="0" borderId="14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wrapText="1"/>
    </xf>
    <xf numFmtId="4" fontId="23" fillId="0" borderId="0" xfId="0" applyNumberFormat="1" applyFont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left"/>
    </xf>
    <xf numFmtId="4" fontId="16" fillId="0" borderId="13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vertical="top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left" wrapText="1"/>
    </xf>
    <xf numFmtId="164" fontId="18" fillId="0" borderId="0" xfId="0" applyNumberFormat="1" applyFont="1" applyBorder="1" applyAlignment="1">
      <alignment horizontal="center"/>
    </xf>
    <xf numFmtId="4" fontId="15" fillId="0" borderId="0" xfId="0" applyNumberFormat="1" applyFont="1" applyAlignment="1">
      <alignment wrapText="1"/>
    </xf>
    <xf numFmtId="164" fontId="11" fillId="0" borderId="15" xfId="0" applyNumberFormat="1" applyFont="1" applyFill="1" applyBorder="1" applyAlignment="1">
      <alignment wrapText="1"/>
    </xf>
    <xf numFmtId="164" fontId="11" fillId="0" borderId="16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left" wrapText="1"/>
    </xf>
    <xf numFmtId="166" fontId="11" fillId="0" borderId="1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4" fontId="15" fillId="33" borderId="10" xfId="0" applyNumberFormat="1" applyFont="1" applyFill="1" applyBorder="1" applyAlignment="1">
      <alignment wrapText="1"/>
    </xf>
    <xf numFmtId="172" fontId="11" fillId="0" borderId="10" xfId="0" applyNumberFormat="1" applyFont="1" applyBorder="1" applyAlignment="1">
      <alignment horizontal="center" wrapText="1"/>
    </xf>
    <xf numFmtId="0" fontId="13" fillId="35" borderId="0" xfId="0" applyFont="1" applyFill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168" fontId="11" fillId="0" borderId="10" xfId="0" applyNumberFormat="1" applyFont="1" applyBorder="1" applyAlignment="1">
      <alignment horizontal="center" wrapText="1"/>
    </xf>
    <xf numFmtId="4" fontId="13" fillId="33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64" fontId="11" fillId="34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169" fontId="13" fillId="0" borderId="0" xfId="0" applyNumberFormat="1" applyFont="1" applyAlignment="1">
      <alignment wrapText="1"/>
    </xf>
    <xf numFmtId="0" fontId="16" fillId="0" borderId="10" xfId="0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2" fontId="13" fillId="35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16" fillId="0" borderId="10" xfId="0" applyFont="1" applyFill="1" applyBorder="1" applyAlignment="1">
      <alignment horizontal="left" wrapText="1"/>
    </xf>
    <xf numFmtId="4" fontId="17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0" fontId="13" fillId="0" borderId="1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4" fontId="13" fillId="0" borderId="1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16" fillId="0" borderId="18" xfId="0" applyFont="1" applyBorder="1" applyAlignment="1">
      <alignment horizontal="left"/>
    </xf>
    <xf numFmtId="4" fontId="15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" fontId="11" fillId="35" borderId="0" xfId="0" applyNumberFormat="1" applyFont="1" applyFill="1" applyAlignment="1">
      <alignment/>
    </xf>
    <xf numFmtId="0" fontId="16" fillId="0" borderId="16" xfId="0" applyFont="1" applyBorder="1" applyAlignment="1">
      <alignment vertical="center" wrapText="1"/>
    </xf>
    <xf numFmtId="0" fontId="21" fillId="0" borderId="14" xfId="0" applyFont="1" applyBorder="1" applyAlignment="1">
      <alignment/>
    </xf>
    <xf numFmtId="164" fontId="22" fillId="0" borderId="16" xfId="0" applyNumberFormat="1" applyFont="1" applyBorder="1" applyAlignment="1">
      <alignment wrapText="1"/>
    </xf>
    <xf numFmtId="0" fontId="14" fillId="0" borderId="14" xfId="0" applyFont="1" applyBorder="1" applyAlignment="1">
      <alignment/>
    </xf>
    <xf numFmtId="164" fontId="11" fillId="0" borderId="16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16" fontId="13" fillId="0" borderId="10" xfId="0" applyNumberFormat="1" applyFont="1" applyBorder="1" applyAlignment="1">
      <alignment wrapText="1"/>
    </xf>
    <xf numFmtId="0" fontId="16" fillId="33" borderId="0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164" fontId="11" fillId="33" borderId="13" xfId="0" applyNumberFormat="1" applyFont="1" applyFill="1" applyBorder="1" applyAlignment="1">
      <alignment/>
    </xf>
    <xf numFmtId="4" fontId="11" fillId="34" borderId="0" xfId="0" applyNumberFormat="1" applyFont="1" applyFill="1" applyAlignment="1">
      <alignment wrapText="1"/>
    </xf>
    <xf numFmtId="169" fontId="11" fillId="0" borderId="0" xfId="0" applyNumberFormat="1" applyFont="1" applyAlignment="1">
      <alignment/>
    </xf>
    <xf numFmtId="164" fontId="11" fillId="0" borderId="0" xfId="0" applyNumberFormat="1" applyFont="1" applyFill="1" applyBorder="1" applyAlignment="1">
      <alignment wrapText="1"/>
    </xf>
    <xf numFmtId="4" fontId="15" fillId="34" borderId="10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/>
    </xf>
    <xf numFmtId="4" fontId="16" fillId="34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4" fontId="13" fillId="33" borderId="10" xfId="0" applyNumberFormat="1" applyFont="1" applyFill="1" applyBorder="1" applyAlignment="1">
      <alignment/>
    </xf>
    <xf numFmtId="4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164" fontId="11" fillId="34" borderId="19" xfId="0" applyNumberFormat="1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7" fillId="35" borderId="0" xfId="0" applyFont="1" applyFill="1" applyAlignment="1">
      <alignment/>
    </xf>
    <xf numFmtId="164" fontId="16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22" fillId="0" borderId="10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11" fillId="0" borderId="11" xfId="0" applyNumberFormat="1" applyFont="1" applyFill="1" applyBorder="1" applyAlignment="1">
      <alignment/>
    </xf>
    <xf numFmtId="0" fontId="2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/>
    </xf>
    <xf numFmtId="4" fontId="76" fillId="0" borderId="10" xfId="0" applyNumberFormat="1" applyFont="1" applyBorder="1" applyAlignment="1">
      <alignment horizontal="right" vertical="center" wrapText="1"/>
    </xf>
    <xf numFmtId="4" fontId="76" fillId="33" borderId="10" xfId="0" applyNumberFormat="1" applyFont="1" applyFill="1" applyBorder="1" applyAlignment="1">
      <alignment horizontal="right" vertical="center" wrapText="1"/>
    </xf>
    <xf numFmtId="4" fontId="77" fillId="0" borderId="10" xfId="0" applyNumberFormat="1" applyFont="1" applyBorder="1" applyAlignment="1">
      <alignment wrapText="1"/>
    </xf>
    <xf numFmtId="4" fontId="16" fillId="0" borderId="0" xfId="0" applyNumberFormat="1" applyFont="1" applyAlignment="1">
      <alignment wrapText="1"/>
    </xf>
    <xf numFmtId="4" fontId="77" fillId="34" borderId="10" xfId="0" applyNumberFormat="1" applyFont="1" applyFill="1" applyBorder="1" applyAlignment="1">
      <alignment wrapText="1"/>
    </xf>
    <xf numFmtId="4" fontId="77" fillId="0" borderId="0" xfId="0" applyNumberFormat="1" applyFont="1" applyBorder="1" applyAlignment="1">
      <alignment wrapText="1"/>
    </xf>
    <xf numFmtId="0" fontId="78" fillId="0" borderId="0" xfId="0" applyFont="1" applyAlignment="1">
      <alignment/>
    </xf>
    <xf numFmtId="16" fontId="16" fillId="0" borderId="14" xfId="0" applyNumberFormat="1" applyFont="1" applyBorder="1" applyAlignment="1">
      <alignment wrapText="1"/>
    </xf>
    <xf numFmtId="4" fontId="76" fillId="33" borderId="10" xfId="0" applyNumberFormat="1" applyFont="1" applyFill="1" applyBorder="1" applyAlignment="1">
      <alignment horizontal="right" wrapText="1"/>
    </xf>
    <xf numFmtId="0" fontId="79" fillId="0" borderId="10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Alignment="1">
      <alignment/>
    </xf>
    <xf numFmtId="0" fontId="76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16" fillId="35" borderId="0" xfId="0" applyFont="1" applyFill="1" applyAlignment="1">
      <alignment/>
    </xf>
    <xf numFmtId="164" fontId="16" fillId="34" borderId="11" xfId="0" applyNumberFormat="1" applyFont="1" applyFill="1" applyBorder="1" applyAlignment="1">
      <alignment/>
    </xf>
    <xf numFmtId="164" fontId="16" fillId="0" borderId="11" xfId="0" applyNumberFormat="1" applyFont="1" applyBorder="1" applyAlignment="1">
      <alignment/>
    </xf>
    <xf numFmtId="0" fontId="15" fillId="35" borderId="0" xfId="0" applyFont="1" applyFill="1" applyAlignment="1">
      <alignment/>
    </xf>
    <xf numFmtId="0" fontId="79" fillId="0" borderId="10" xfId="0" applyFont="1" applyBorder="1" applyAlignment="1">
      <alignment wrapText="1"/>
    </xf>
    <xf numFmtId="2" fontId="77" fillId="0" borderId="10" xfId="0" applyNumberFormat="1" applyFont="1" applyBorder="1" applyAlignment="1">
      <alignment/>
    </xf>
    <xf numFmtId="0" fontId="77" fillId="0" borderId="10" xfId="0" applyFont="1" applyBorder="1" applyAlignment="1">
      <alignment/>
    </xf>
    <xf numFmtId="4" fontId="81" fillId="0" borderId="10" xfId="0" applyNumberFormat="1" applyFont="1" applyBorder="1" applyAlignment="1">
      <alignment wrapText="1"/>
    </xf>
    <xf numFmtId="0" fontId="79" fillId="33" borderId="10" xfId="0" applyFont="1" applyFill="1" applyBorder="1" applyAlignment="1">
      <alignment horizontal="center" vertical="center"/>
    </xf>
    <xf numFmtId="164" fontId="76" fillId="33" borderId="10" xfId="0" applyNumberFormat="1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164" fontId="76" fillId="0" borderId="10" xfId="0" applyNumberFormat="1" applyFont="1" applyFill="1" applyBorder="1" applyAlignment="1">
      <alignment horizontal="center" vertical="center"/>
    </xf>
    <xf numFmtId="4" fontId="77" fillId="0" borderId="10" xfId="0" applyNumberFormat="1" applyFont="1" applyBorder="1" applyAlignment="1">
      <alignment/>
    </xf>
    <xf numFmtId="0" fontId="77" fillId="0" borderId="10" xfId="0" applyFont="1" applyFill="1" applyBorder="1" applyAlignment="1">
      <alignment/>
    </xf>
    <xf numFmtId="0" fontId="14" fillId="0" borderId="0" xfId="0" applyFont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82" fillId="0" borderId="0" xfId="0" applyFont="1" applyBorder="1" applyAlignment="1">
      <alignment horizontal="center" wrapText="1"/>
    </xf>
    <xf numFmtId="2" fontId="82" fillId="0" borderId="0" xfId="0" applyNumberFormat="1" applyFont="1" applyBorder="1" applyAlignment="1">
      <alignment wrapText="1"/>
    </xf>
    <xf numFmtId="0" fontId="26" fillId="35" borderId="0" xfId="0" applyFont="1" applyFill="1" applyAlignment="1">
      <alignment horizontal="center"/>
    </xf>
    <xf numFmtId="0" fontId="16" fillId="35" borderId="0" xfId="0" applyFont="1" applyFill="1" applyBorder="1" applyAlignment="1">
      <alignment horizontal="center"/>
    </xf>
    <xf numFmtId="164" fontId="76" fillId="33" borderId="0" xfId="0" applyNumberFormat="1" applyFont="1" applyFill="1" applyBorder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wrapText="1"/>
    </xf>
    <xf numFmtId="0" fontId="1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/>
    </xf>
    <xf numFmtId="0" fontId="79" fillId="0" borderId="10" xfId="0" applyFont="1" applyFill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82" fillId="0" borderId="10" xfId="0" applyFont="1" applyBorder="1" applyAlignment="1">
      <alignment horizontal="center" wrapText="1"/>
    </xf>
    <xf numFmtId="2" fontId="79" fillId="0" borderId="10" xfId="0" applyNumberFormat="1" applyFont="1" applyBorder="1" applyAlignment="1">
      <alignment wrapText="1"/>
    </xf>
    <xf numFmtId="4" fontId="79" fillId="33" borderId="10" xfId="0" applyNumberFormat="1" applyFont="1" applyFill="1" applyBorder="1" applyAlignment="1">
      <alignment wrapText="1"/>
    </xf>
    <xf numFmtId="4" fontId="79" fillId="0" borderId="10" xfId="0" applyNumberFormat="1" applyFont="1" applyBorder="1" applyAlignment="1">
      <alignment wrapText="1"/>
    </xf>
    <xf numFmtId="4" fontId="79" fillId="0" borderId="10" xfId="0" applyNumberFormat="1" applyFont="1" applyFill="1" applyBorder="1" applyAlignment="1">
      <alignment wrapText="1"/>
    </xf>
    <xf numFmtId="0" fontId="83" fillId="0" borderId="10" xfId="0" applyFont="1" applyBorder="1" applyAlignment="1">
      <alignment horizontal="center" wrapText="1"/>
    </xf>
    <xf numFmtId="0" fontId="14" fillId="0" borderId="1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164" fontId="16" fillId="0" borderId="10" xfId="0" applyNumberFormat="1" applyFont="1" applyBorder="1" applyAlignment="1">
      <alignment horizontal="left" wrapText="1"/>
    </xf>
    <xf numFmtId="164" fontId="16" fillId="0" borderId="14" xfId="0" applyNumberFormat="1" applyFont="1" applyBorder="1" applyAlignment="1">
      <alignment horizontal="right" wrapText="1"/>
    </xf>
    <xf numFmtId="0" fontId="77" fillId="0" borderId="0" xfId="0" applyFont="1" applyBorder="1" applyAlignment="1">
      <alignment/>
    </xf>
    <xf numFmtId="4" fontId="11" fillId="35" borderId="0" xfId="0" applyNumberFormat="1" applyFont="1" applyFill="1" applyAlignment="1">
      <alignment/>
    </xf>
    <xf numFmtId="0" fontId="77" fillId="0" borderId="10" xfId="0" applyFont="1" applyBorder="1" applyAlignment="1">
      <alignment wrapText="1"/>
    </xf>
    <xf numFmtId="164" fontId="84" fillId="0" borderId="10" xfId="0" applyNumberFormat="1" applyFont="1" applyBorder="1" applyAlignment="1">
      <alignment horizontal="center"/>
    </xf>
    <xf numFmtId="164" fontId="76" fillId="0" borderId="10" xfId="0" applyNumberFormat="1" applyFont="1" applyBorder="1" applyAlignment="1">
      <alignment horizontal="center" wrapText="1"/>
    </xf>
    <xf numFmtId="164" fontId="76" fillId="0" borderId="10" xfId="0" applyNumberFormat="1" applyFont="1" applyFill="1" applyBorder="1" applyAlignment="1">
      <alignment horizontal="center" wrapText="1"/>
    </xf>
    <xf numFmtId="0" fontId="77" fillId="0" borderId="10" xfId="0" applyFont="1" applyBorder="1" applyAlignment="1">
      <alignment horizontal="center" wrapText="1"/>
    </xf>
    <xf numFmtId="170" fontId="76" fillId="0" borderId="10" xfId="0" applyNumberFormat="1" applyFont="1" applyFill="1" applyBorder="1" applyAlignment="1">
      <alignment horizontal="center" wrapText="1"/>
    </xf>
    <xf numFmtId="170" fontId="76" fillId="0" borderId="10" xfId="0" applyNumberFormat="1" applyFont="1" applyBorder="1" applyAlignment="1">
      <alignment horizontal="center" wrapText="1"/>
    </xf>
    <xf numFmtId="166" fontId="76" fillId="0" borderId="10" xfId="0" applyNumberFormat="1" applyFont="1" applyBorder="1" applyAlignment="1">
      <alignment horizontal="center" vertical="center" wrapText="1"/>
    </xf>
    <xf numFmtId="164" fontId="76" fillId="0" borderId="10" xfId="0" applyNumberFormat="1" applyFont="1" applyBorder="1" applyAlignment="1">
      <alignment horizontal="center" vertical="center" wrapText="1"/>
    </xf>
    <xf numFmtId="164" fontId="76" fillId="0" borderId="10" xfId="0" applyNumberFormat="1" applyFont="1" applyBorder="1" applyAlignment="1">
      <alignment horizontal="center" vertical="center" wrapText="1"/>
    </xf>
    <xf numFmtId="164" fontId="76" fillId="0" borderId="10" xfId="0" applyNumberFormat="1" applyFont="1" applyFill="1" applyBorder="1" applyAlignment="1">
      <alignment wrapText="1"/>
    </xf>
    <xf numFmtId="172" fontId="76" fillId="0" borderId="10" xfId="0" applyNumberFormat="1" applyFont="1" applyBorder="1" applyAlignment="1">
      <alignment horizontal="center" wrapText="1"/>
    </xf>
    <xf numFmtId="164" fontId="76" fillId="0" borderId="15" xfId="0" applyNumberFormat="1" applyFont="1" applyBorder="1" applyAlignment="1">
      <alignment horizontal="left" wrapText="1"/>
    </xf>
    <xf numFmtId="164" fontId="76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164" fontId="76" fillId="0" borderId="10" xfId="0" applyNumberFormat="1" applyFont="1" applyFill="1" applyBorder="1" applyAlignment="1">
      <alignment horizontal="center" vertical="center" wrapText="1"/>
    </xf>
    <xf numFmtId="164" fontId="76" fillId="0" borderId="15" xfId="0" applyNumberFormat="1" applyFont="1" applyFill="1" applyBorder="1" applyAlignment="1">
      <alignment horizontal="left" wrapText="1"/>
    </xf>
    <xf numFmtId="168" fontId="76" fillId="0" borderId="10" xfId="0" applyNumberFormat="1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164" fontId="76" fillId="0" borderId="15" xfId="0" applyNumberFormat="1" applyFont="1" applyBorder="1" applyAlignment="1">
      <alignment wrapText="1"/>
    </xf>
    <xf numFmtId="164" fontId="76" fillId="0" borderId="16" xfId="0" applyNumberFormat="1" applyFont="1" applyBorder="1" applyAlignment="1">
      <alignment wrapText="1"/>
    </xf>
    <xf numFmtId="4" fontId="76" fillId="0" borderId="10" xfId="0" applyNumberFormat="1" applyFont="1" applyBorder="1" applyAlignment="1">
      <alignment horizontal="center" wrapText="1"/>
    </xf>
    <xf numFmtId="167" fontId="76" fillId="0" borderId="10" xfId="0" applyNumberFormat="1" applyFont="1" applyBorder="1" applyAlignment="1">
      <alignment horizontal="center" wrapText="1"/>
    </xf>
    <xf numFmtId="166" fontId="76" fillId="0" borderId="10" xfId="0" applyNumberFormat="1" applyFont="1" applyBorder="1" applyAlignment="1">
      <alignment horizontal="center" wrapText="1"/>
    </xf>
    <xf numFmtId="164" fontId="76" fillId="0" borderId="15" xfId="0" applyNumberFormat="1" applyFont="1" applyFill="1" applyBorder="1" applyAlignment="1">
      <alignment wrapText="1"/>
    </xf>
    <xf numFmtId="164" fontId="76" fillId="0" borderId="10" xfId="0" applyNumberFormat="1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164" fontId="76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2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11" fillId="0" borderId="15" xfId="0" applyNumberFormat="1" applyFont="1" applyBorder="1" applyAlignment="1">
      <alignment horizontal="left" wrapText="1"/>
    </xf>
    <xf numFmtId="164" fontId="11" fillId="0" borderId="16" xfId="0" applyNumberFormat="1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left" wrapText="1"/>
    </xf>
    <xf numFmtId="164" fontId="76" fillId="0" borderId="15" xfId="0" applyNumberFormat="1" applyFont="1" applyBorder="1" applyAlignment="1">
      <alignment wrapText="1"/>
    </xf>
    <xf numFmtId="164" fontId="76" fillId="0" borderId="16" xfId="0" applyNumberFormat="1" applyFont="1" applyBorder="1" applyAlignment="1">
      <alignment wrapText="1"/>
    </xf>
    <xf numFmtId="164" fontId="76" fillId="0" borderId="14" xfId="0" applyNumberFormat="1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0" fontId="74" fillId="0" borderId="16" xfId="0" applyFont="1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" fontId="76" fillId="0" borderId="15" xfId="0" applyNumberFormat="1" applyFont="1" applyBorder="1" applyAlignment="1">
      <alignment horizontal="center"/>
    </xf>
    <xf numFmtId="4" fontId="76" fillId="0" borderId="14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164" fontId="76" fillId="0" borderId="15" xfId="0" applyNumberFormat="1" applyFont="1" applyBorder="1" applyAlignment="1">
      <alignment horizontal="left" wrapText="1"/>
    </xf>
    <xf numFmtId="164" fontId="76" fillId="0" borderId="16" xfId="0" applyNumberFormat="1" applyFont="1" applyBorder="1" applyAlignment="1">
      <alignment horizontal="left" wrapText="1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4" fontId="84" fillId="0" borderId="1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wrapText="1"/>
    </xf>
    <xf numFmtId="4" fontId="14" fillId="0" borderId="14" xfId="0" applyNumberFormat="1" applyFont="1" applyBorder="1" applyAlignment="1">
      <alignment/>
    </xf>
    <xf numFmtId="164" fontId="76" fillId="0" borderId="14" xfId="0" applyNumberFormat="1" applyFont="1" applyBorder="1" applyAlignment="1">
      <alignment horizontal="left" wrapText="1"/>
    </xf>
    <xf numFmtId="4" fontId="18" fillId="0" borderId="10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164" fontId="76" fillId="0" borderId="15" xfId="0" applyNumberFormat="1" applyFont="1" applyFill="1" applyBorder="1" applyAlignment="1">
      <alignment horizontal="left" wrapText="1"/>
    </xf>
    <xf numFmtId="164" fontId="76" fillId="0" borderId="14" xfId="0" applyNumberFormat="1" applyFont="1" applyFill="1" applyBorder="1" applyAlignment="1">
      <alignment horizontal="left" wrapText="1"/>
    </xf>
    <xf numFmtId="164" fontId="18" fillId="0" borderId="10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 wrapText="1"/>
    </xf>
    <xf numFmtId="164" fontId="84" fillId="0" borderId="10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164" fontId="22" fillId="0" borderId="15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164" fontId="11" fillId="0" borderId="15" xfId="0" applyNumberFormat="1" applyFont="1" applyFill="1" applyBorder="1" applyAlignment="1">
      <alignment horizontal="left" wrapText="1"/>
    </xf>
    <xf numFmtId="164" fontId="11" fillId="0" borderId="14" xfId="0" applyNumberFormat="1" applyFont="1" applyFill="1" applyBorder="1" applyAlignment="1">
      <alignment horizontal="left" wrapText="1"/>
    </xf>
    <xf numFmtId="0" fontId="74" fillId="0" borderId="14" xfId="0" applyFont="1" applyBorder="1" applyAlignment="1">
      <alignment horizontal="left" wrapText="1"/>
    </xf>
    <xf numFmtId="0" fontId="76" fillId="0" borderId="15" xfId="0" applyFont="1" applyBorder="1" applyAlignment="1">
      <alignment horizontal="left" wrapText="1"/>
    </xf>
    <xf numFmtId="0" fontId="76" fillId="0" borderId="14" xfId="0" applyFont="1" applyBorder="1" applyAlignment="1">
      <alignment horizontal="left" wrapText="1"/>
    </xf>
    <xf numFmtId="164" fontId="18" fillId="0" borderId="10" xfId="0" applyNumberFormat="1" applyFont="1" applyFill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164" fontId="18" fillId="0" borderId="15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164" fontId="84" fillId="0" borderId="15" xfId="0" applyNumberFormat="1" applyFont="1" applyBorder="1" applyAlignment="1">
      <alignment horizontal="center"/>
    </xf>
    <xf numFmtId="164" fontId="84" fillId="0" borderId="14" xfId="0" applyNumberFormat="1" applyFont="1" applyBorder="1" applyAlignment="1">
      <alignment horizontal="center"/>
    </xf>
    <xf numFmtId="164" fontId="76" fillId="0" borderId="15" xfId="0" applyNumberFormat="1" applyFont="1" applyFill="1" applyBorder="1" applyAlignment="1">
      <alignment wrapText="1"/>
    </xf>
    <xf numFmtId="164" fontId="76" fillId="0" borderId="14" xfId="0" applyNumberFormat="1" applyFont="1" applyFill="1" applyBorder="1" applyAlignment="1">
      <alignment wrapText="1"/>
    </xf>
    <xf numFmtId="164" fontId="11" fillId="0" borderId="15" xfId="0" applyNumberFormat="1" applyFont="1" applyFill="1" applyBorder="1" applyAlignment="1">
      <alignment wrapText="1"/>
    </xf>
    <xf numFmtId="164" fontId="11" fillId="0" borderId="14" xfId="0" applyNumberFormat="1" applyFont="1" applyFill="1" applyBorder="1" applyAlignment="1">
      <alignment wrapText="1"/>
    </xf>
    <xf numFmtId="164" fontId="11" fillId="0" borderId="15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76" fillId="0" borderId="15" xfId="0" applyNumberFormat="1" applyFont="1" applyBorder="1" applyAlignment="1">
      <alignment horizontal="center" vertical="center"/>
    </xf>
    <xf numFmtId="164" fontId="76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164" fontId="76" fillId="0" borderId="15" xfId="0" applyNumberFormat="1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76" fillId="0" borderId="15" xfId="0" applyNumberFormat="1" applyFont="1" applyBorder="1" applyAlignment="1">
      <alignment horizontal="center" wrapText="1"/>
    </xf>
    <xf numFmtId="164" fontId="76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center" wrapText="1"/>
    </xf>
    <xf numFmtId="164" fontId="11" fillId="0" borderId="14" xfId="0" applyNumberFormat="1" applyFont="1" applyFill="1" applyBorder="1" applyAlignment="1">
      <alignment horizontal="center" wrapText="1"/>
    </xf>
    <xf numFmtId="0" fontId="21" fillId="0" borderId="14" xfId="0" applyFont="1" applyBorder="1" applyAlignment="1">
      <alignment/>
    </xf>
    <xf numFmtId="0" fontId="85" fillId="0" borderId="14" xfId="0" applyFont="1" applyBorder="1" applyAlignment="1">
      <alignment/>
    </xf>
    <xf numFmtId="0" fontId="13" fillId="35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164" fontId="76" fillId="0" borderId="10" xfId="0" applyNumberFormat="1" applyFont="1" applyBorder="1" applyAlignment="1">
      <alignment horizontal="center"/>
    </xf>
    <xf numFmtId="0" fontId="76" fillId="0" borderId="23" xfId="0" applyFont="1" applyBorder="1" applyAlignment="1">
      <alignment horizontal="left" wrapText="1"/>
    </xf>
    <xf numFmtId="0" fontId="74" fillId="0" borderId="23" xfId="0" applyFont="1" applyBorder="1" applyAlignment="1">
      <alignment horizontal="left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64" fontId="77" fillId="0" borderId="15" xfId="0" applyNumberFormat="1" applyFont="1" applyBorder="1" applyAlignment="1">
      <alignment horizontal="center" wrapText="1"/>
    </xf>
    <xf numFmtId="0" fontId="74" fillId="0" borderId="14" xfId="0" applyFont="1" applyBorder="1" applyAlignment="1">
      <alignment/>
    </xf>
    <xf numFmtId="164" fontId="13" fillId="0" borderId="15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left" wrapText="1"/>
    </xf>
    <xf numFmtId="164" fontId="6" fillId="0" borderId="16" xfId="0" applyNumberFormat="1" applyFont="1" applyBorder="1" applyAlignment="1">
      <alignment horizontal="left" wrapText="1"/>
    </xf>
    <xf numFmtId="164" fontId="6" fillId="0" borderId="14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64" fontId="8" fillId="0" borderId="15" xfId="0" applyNumberFormat="1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9" fillId="0" borderId="24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1" fillId="0" borderId="16" xfId="0" applyNumberFormat="1" applyFont="1" applyFill="1" applyBorder="1" applyAlignment="1">
      <alignment horizontal="left" wrapText="1"/>
    </xf>
    <xf numFmtId="0" fontId="14" fillId="0" borderId="17" xfId="0" applyFont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left" wrapText="1"/>
    </xf>
    <xf numFmtId="164" fontId="76" fillId="0" borderId="10" xfId="0" applyNumberFormat="1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64" fontId="22" fillId="0" borderId="15" xfId="0" applyNumberFormat="1" applyFont="1" applyBorder="1" applyAlignment="1">
      <alignment horizontal="left" wrapText="1"/>
    </xf>
    <xf numFmtId="164" fontId="22" fillId="0" borderId="14" xfId="0" applyNumberFormat="1" applyFont="1" applyBorder="1" applyAlignment="1">
      <alignment horizontal="left" wrapText="1"/>
    </xf>
    <xf numFmtId="164" fontId="22" fillId="0" borderId="15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164" fontId="22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164" fontId="84" fillId="0" borderId="10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164" fontId="18" fillId="0" borderId="24" xfId="0" applyNumberFormat="1" applyFont="1" applyBorder="1" applyAlignment="1">
      <alignment horizontal="center"/>
    </xf>
    <xf numFmtId="164" fontId="18" fillId="0" borderId="25" xfId="0" applyNumberFormat="1" applyFont="1" applyBorder="1" applyAlignment="1">
      <alignment horizontal="center"/>
    </xf>
    <xf numFmtId="164" fontId="84" fillId="0" borderId="24" xfId="0" applyNumberFormat="1" applyFont="1" applyBorder="1" applyAlignment="1">
      <alignment horizontal="center"/>
    </xf>
    <xf numFmtId="164" fontId="84" fillId="0" borderId="25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left" wrapText="1"/>
    </xf>
    <xf numFmtId="164" fontId="16" fillId="0" borderId="14" xfId="0" applyNumberFormat="1" applyFont="1" applyBorder="1" applyAlignment="1">
      <alignment horizontal="left" wrapText="1"/>
    </xf>
    <xf numFmtId="164" fontId="24" fillId="0" borderId="15" xfId="0" applyNumberFormat="1" applyFont="1" applyBorder="1" applyAlignment="1">
      <alignment horizontal="center"/>
    </xf>
    <xf numFmtId="164" fontId="24" fillId="0" borderId="14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29" xfId="0" applyFont="1" applyBorder="1" applyAlignment="1">
      <alignment wrapText="1"/>
    </xf>
    <xf numFmtId="164" fontId="11" fillId="0" borderId="0" xfId="0" applyNumberFormat="1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 horizontal="center"/>
    </xf>
    <xf numFmtId="164" fontId="76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/>
    </xf>
    <xf numFmtId="164" fontId="84" fillId="0" borderId="15" xfId="0" applyNumberFormat="1" applyFont="1" applyFill="1" applyBorder="1" applyAlignment="1">
      <alignment horizontal="center"/>
    </xf>
    <xf numFmtId="164" fontId="84" fillId="0" borderId="14" xfId="0" applyNumberFormat="1" applyFont="1" applyFill="1" applyBorder="1" applyAlignment="1">
      <alignment horizontal="center"/>
    </xf>
    <xf numFmtId="0" fontId="86" fillId="0" borderId="14" xfId="0" applyFont="1" applyBorder="1" applyAlignment="1">
      <alignment wrapText="1"/>
    </xf>
    <xf numFmtId="0" fontId="77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styles" Target="styles.xml" /><Relationship Id="rId107" Type="http://schemas.openxmlformats.org/officeDocument/2006/relationships/sharedStrings" Target="sharedStrings.xml" /><Relationship Id="rId108" Type="http://schemas.openxmlformats.org/officeDocument/2006/relationships/externalLink" Target="externalLinks/externalLink1.xml" /><Relationship Id="rId10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9533\Desktop\&#1054;&#1054;&#1054;%20&#1058;&#1077;&#1093;&#1085;&#1086;%20&#1056;%202022\&#1060;&#1080;&#1085;&#1072;&#1085;&#1089;&#1086;&#1074;&#1099;&#1077;%20&#1086;&#1090;&#1095;&#1077;&#1090;&#1099;%20&#1054;&#1054;&#1054;%20&#1058;&#1077;&#1093;&#1085;&#1086;%20&#1056;%202021\&#1054;&#1090;&#1095;&#1077;&#1090;%20&#1087;&#1086;%20&#1076;&#1086;&#1084;&#1072;&#1084;%20&#1079;&#1072;%202021%20&#1075;%20&#1076;&#1083;&#1103;%20&#1088;&#1072;&#1079;&#1084;&#1077;&#1097;&#1077;&#1085;&#1080;&#1103;%20&#1085;&#1072;%20&#1089;&#1072;&#1081;&#109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левизионная 2а"/>
      <sheetName val="Пионерская 16"/>
      <sheetName val=" Пионерская 1318 кв.1-50"/>
      <sheetName val=" Пионерская 1318 кв.51-64"/>
      <sheetName val="Багговута 12"/>
      <sheetName val="Пионерская 15"/>
      <sheetName val="Социалистическая 3"/>
      <sheetName val="Социалистическая 4"/>
      <sheetName val="Социалистическая 6 к.1"/>
      <sheetName val="Социалистическая 6"/>
      <sheetName val="Социалистическая 9"/>
      <sheetName val="Социалистическая 12"/>
      <sheetName val="Телевизионная 2"/>
      <sheetName val="Телевизионная 4"/>
      <sheetName val="Чичерина 7а"/>
      <sheetName val="Чичерина 8"/>
      <sheetName val="Чичерина 16 к. 1"/>
      <sheetName val="пер.Чичерина 24"/>
      <sheetName val="пер. Чичерина 28"/>
      <sheetName val="Калинина 12"/>
      <sheetName val="Калинина 18"/>
      <sheetName val="Калинина 23"/>
      <sheetName val="Пионерская 9"/>
      <sheetName val="Высокая 4"/>
      <sheetName val="Пухова 15"/>
      <sheetName val="Пухова 17"/>
      <sheetName val="Калинина 4"/>
      <sheetName val="Тельмана 10"/>
      <sheetName val="Пионерская 18"/>
      <sheetName val="Чичерина 12 к.1"/>
      <sheetName val="Телевизионная 6 к.1"/>
      <sheetName val="Пионерская 2"/>
      <sheetName val="Телевизионная 2 к.1"/>
      <sheetName val="Чичерина 16"/>
      <sheetName val="Чичерина 19"/>
      <sheetName val="Чичерина 22"/>
      <sheetName val="Лист1"/>
      <sheetName val="Лист2"/>
      <sheetName val="Ленина 68,8"/>
      <sheetName val="Ленина 67"/>
      <sheetName val="Огарева 20"/>
      <sheetName val="Пролетарская 40"/>
      <sheetName val="Чижевского 4"/>
      <sheetName val="Билибина 10"/>
      <sheetName val="Ленина 61.5"/>
      <sheetName val="Билибина 26"/>
      <sheetName val="Московская 167"/>
      <sheetName val="Билибина 28"/>
      <sheetName val="Общее"/>
      <sheetName val="Пролетарская 135"/>
      <sheetName val="Молодежная 41"/>
      <sheetName val="Солнечный б-р 2 общий"/>
      <sheetName val="Солнечный б-р 4"/>
      <sheetName val="Солнечный б-р 4-1"/>
      <sheetName val="Солнечный б-р 4-2"/>
      <sheetName val="Аллейная 2"/>
      <sheetName val="Телевизионная 10"/>
      <sheetName val="Дубрава 1"/>
      <sheetName val="Дубрава 1а"/>
      <sheetName val="Дубрава 2"/>
      <sheetName val="Дубрава 3"/>
      <sheetName val="Дубрава 4"/>
      <sheetName val="Дубрава 5"/>
      <sheetName val="Дубрава 6"/>
      <sheetName val="Дубрава 7"/>
      <sheetName val="Дубрава 9"/>
      <sheetName val="Дубрава10"/>
      <sheetName val="Дубрава 11"/>
      <sheetName val="Нефтебаза 1"/>
      <sheetName val="Нефтебаза 2"/>
      <sheetName val="Нефтебаза 3"/>
      <sheetName val="Нефтебаза 4"/>
      <sheetName val="Нефтебаза 5"/>
      <sheetName val="Нефтебаза 6"/>
      <sheetName val="Аэропортовская 14"/>
      <sheetName val="Дорожная 11 корп1"/>
      <sheetName val="Дорожная 11 корп2"/>
      <sheetName val="Моторная 30А"/>
      <sheetName val="Грабцевское шоссе 160"/>
      <sheetName val="Аэропортовская 9"/>
      <sheetName val="Хрустальная 52"/>
      <sheetName val="Хрустальная 56"/>
      <sheetName val="Хрустальная 62"/>
      <sheetName val="Хрустальная 66"/>
      <sheetName val="Хрустальная 70"/>
      <sheetName val="Хрустальная 74"/>
      <sheetName val="Молодежная 46"/>
      <sheetName val="Молодежная 48"/>
      <sheetName val="Солнечный бульвар 20"/>
      <sheetName val="Грабцевское шоссе 132 корп.1"/>
      <sheetName val="Гагарина 9"/>
      <sheetName val="Добровольского 14"/>
      <sheetName val="Чижевского 12"/>
      <sheetName val="Чижевского 23"/>
      <sheetName val="Болотникова 16"/>
      <sheetName val="Плеханова 2 к.2"/>
      <sheetName val="65 лет Победы 29"/>
      <sheetName val="Суворова 153 к.5"/>
      <sheetName val="А.Королева 29 гаражи"/>
      <sheetName val="Кооперативная1дробь2"/>
      <sheetName val="Парижской Коммуны,1а"/>
      <sheetName val="А.Королева 29"/>
      <sheetName val="Калинина 15"/>
      <sheetName val="Грабцевское шоссе,77"/>
      <sheetName val="Грабцевское шоссе,78"/>
    </sheetNames>
    <sheetDataSet>
      <sheetData sheetId="0">
        <row r="35">
          <cell r="G35">
            <v>14969.739999999998</v>
          </cell>
        </row>
        <row r="36">
          <cell r="G36">
            <v>60145.8612</v>
          </cell>
        </row>
      </sheetData>
      <sheetData sheetId="1">
        <row r="34">
          <cell r="G34">
            <v>34925.52</v>
          </cell>
        </row>
        <row r="35">
          <cell r="G35">
            <v>337507.85839999997</v>
          </cell>
        </row>
      </sheetData>
      <sheetData sheetId="2">
        <row r="36">
          <cell r="G36">
            <v>-2312.39</v>
          </cell>
        </row>
        <row r="37">
          <cell r="G37">
            <v>-23476.276425</v>
          </cell>
        </row>
      </sheetData>
      <sheetData sheetId="3">
        <row r="35">
          <cell r="G35">
            <v>0</v>
          </cell>
        </row>
        <row r="36">
          <cell r="G36">
            <v>-11795.199475000001</v>
          </cell>
        </row>
      </sheetData>
      <sheetData sheetId="4">
        <row r="36">
          <cell r="G36">
            <v>21645.89</v>
          </cell>
        </row>
        <row r="37">
          <cell r="G37">
            <v>-75469.66010000001</v>
          </cell>
        </row>
      </sheetData>
      <sheetData sheetId="5">
        <row r="35">
          <cell r="G35">
            <v>94418.54</v>
          </cell>
        </row>
        <row r="36">
          <cell r="G36">
            <v>219339.634</v>
          </cell>
        </row>
      </sheetData>
      <sheetData sheetId="6">
        <row r="36">
          <cell r="G36">
            <v>-695315.36</v>
          </cell>
        </row>
        <row r="37">
          <cell r="G37">
            <v>-562435.4028</v>
          </cell>
        </row>
      </sheetData>
      <sheetData sheetId="7">
        <row r="36">
          <cell r="G36">
            <v>171860.85</v>
          </cell>
        </row>
        <row r="37">
          <cell r="G37">
            <v>260981.1417</v>
          </cell>
        </row>
      </sheetData>
      <sheetData sheetId="8">
        <row r="37">
          <cell r="G37">
            <v>23604.83</v>
          </cell>
        </row>
        <row r="38">
          <cell r="G38">
            <v>-93500.41499999998</v>
          </cell>
        </row>
      </sheetData>
      <sheetData sheetId="9">
        <row r="36">
          <cell r="G36">
            <v>86554.33</v>
          </cell>
        </row>
        <row r="37">
          <cell r="G37">
            <v>453063.1087000001</v>
          </cell>
        </row>
      </sheetData>
      <sheetData sheetId="10">
        <row r="36">
          <cell r="G36">
            <v>27785.29</v>
          </cell>
        </row>
        <row r="37">
          <cell r="G37">
            <v>-9618.637099999994</v>
          </cell>
        </row>
      </sheetData>
      <sheetData sheetId="11">
        <row r="36">
          <cell r="G36">
            <v>22929.370000000003</v>
          </cell>
        </row>
        <row r="37">
          <cell r="G37">
            <v>59825.498600000006</v>
          </cell>
        </row>
      </sheetData>
      <sheetData sheetId="12">
        <row r="36">
          <cell r="G36">
            <v>14380.71</v>
          </cell>
        </row>
        <row r="37">
          <cell r="G37">
            <v>-174277.35150000005</v>
          </cell>
        </row>
      </sheetData>
      <sheetData sheetId="13">
        <row r="36">
          <cell r="G36">
            <v>18648.48</v>
          </cell>
        </row>
        <row r="37">
          <cell r="G37">
            <v>49644.1956</v>
          </cell>
        </row>
      </sheetData>
      <sheetData sheetId="14">
        <row r="36">
          <cell r="G36">
            <v>15588.179999999998</v>
          </cell>
        </row>
        <row r="37">
          <cell r="G37">
            <v>83232.80360000001</v>
          </cell>
        </row>
      </sheetData>
      <sheetData sheetId="15">
        <row r="36">
          <cell r="G36">
            <v>-64908.700000000004</v>
          </cell>
        </row>
        <row r="37">
          <cell r="G37">
            <v>49516.61239999999</v>
          </cell>
        </row>
      </sheetData>
      <sheetData sheetId="16">
        <row r="36">
          <cell r="G36">
            <v>-5989.219999999999</v>
          </cell>
        </row>
        <row r="37">
          <cell r="G37">
            <v>-319825.4152</v>
          </cell>
        </row>
      </sheetData>
      <sheetData sheetId="17">
        <row r="37">
          <cell r="G37">
            <v>-39261.51999999999</v>
          </cell>
        </row>
        <row r="38">
          <cell r="G38">
            <v>29464.870500000005</v>
          </cell>
        </row>
      </sheetData>
      <sheetData sheetId="18">
        <row r="35">
          <cell r="G35">
            <v>99543.7</v>
          </cell>
        </row>
        <row r="36">
          <cell r="G36">
            <v>-1043.843899999978</v>
          </cell>
        </row>
      </sheetData>
      <sheetData sheetId="19">
        <row r="37">
          <cell r="G37">
            <v>-154269.83000000002</v>
          </cell>
        </row>
        <row r="38">
          <cell r="G38">
            <v>-934395.3749999999</v>
          </cell>
        </row>
      </sheetData>
      <sheetData sheetId="20">
        <row r="37">
          <cell r="G37">
            <v>379250.77</v>
          </cell>
        </row>
        <row r="38">
          <cell r="G38">
            <v>417109.07889999996</v>
          </cell>
        </row>
      </sheetData>
      <sheetData sheetId="21">
        <row r="36">
          <cell r="G36">
            <v>23951.50999999998</v>
          </cell>
        </row>
        <row r="37">
          <cell r="G37">
            <v>-78172.9313</v>
          </cell>
        </row>
      </sheetData>
      <sheetData sheetId="22">
        <row r="36">
          <cell r="G36">
            <v>24327.02</v>
          </cell>
        </row>
        <row r="37">
          <cell r="G37">
            <v>-90566.00720000001</v>
          </cell>
        </row>
      </sheetData>
      <sheetData sheetId="23">
        <row r="35">
          <cell r="G35">
            <v>13760.64</v>
          </cell>
        </row>
        <row r="36">
          <cell r="G36">
            <v>-90474.40000000002</v>
          </cell>
        </row>
      </sheetData>
      <sheetData sheetId="24">
        <row r="36">
          <cell r="G36">
            <v>5572.86</v>
          </cell>
        </row>
        <row r="37">
          <cell r="G37">
            <v>-24175.58550000001</v>
          </cell>
        </row>
      </sheetData>
      <sheetData sheetId="25">
        <row r="37">
          <cell r="G37">
            <v>38596.57</v>
          </cell>
        </row>
        <row r="38">
          <cell r="G38">
            <v>-362723.22569999995</v>
          </cell>
        </row>
      </sheetData>
      <sheetData sheetId="26">
        <row r="37">
          <cell r="G37">
            <v>21917.31</v>
          </cell>
        </row>
        <row r="38">
          <cell r="G38">
            <v>-295194.7254</v>
          </cell>
        </row>
      </sheetData>
      <sheetData sheetId="27">
        <row r="37">
          <cell r="G37">
            <v>0</v>
          </cell>
        </row>
        <row r="38">
          <cell r="G38">
            <v>-189612.4596</v>
          </cell>
        </row>
      </sheetData>
      <sheetData sheetId="28">
        <row r="37">
          <cell r="G37">
            <v>23089.4</v>
          </cell>
        </row>
        <row r="38">
          <cell r="G38">
            <v>-219267.75059999997</v>
          </cell>
        </row>
      </sheetData>
      <sheetData sheetId="29">
        <row r="36">
          <cell r="G36">
            <v>17055.13</v>
          </cell>
        </row>
        <row r="37">
          <cell r="G37">
            <v>170772.70870000002</v>
          </cell>
        </row>
      </sheetData>
      <sheetData sheetId="30">
        <row r="35">
          <cell r="G35">
            <v>2910.05</v>
          </cell>
        </row>
        <row r="36">
          <cell r="G36">
            <v>56750.09049999999</v>
          </cell>
        </row>
      </sheetData>
      <sheetData sheetId="31">
        <row r="36">
          <cell r="G36">
            <v>5697.05</v>
          </cell>
        </row>
        <row r="37">
          <cell r="G37">
            <v>-387322.45930000005</v>
          </cell>
        </row>
      </sheetData>
      <sheetData sheetId="32">
        <row r="36">
          <cell r="G36">
            <v>30605.7</v>
          </cell>
        </row>
        <row r="37">
          <cell r="G37">
            <v>56269.936199999975</v>
          </cell>
        </row>
      </sheetData>
      <sheetData sheetId="33">
        <row r="36">
          <cell r="G36">
            <v>-7051.42</v>
          </cell>
        </row>
        <row r="37">
          <cell r="G37">
            <v>3642.7099999999937</v>
          </cell>
        </row>
      </sheetData>
      <sheetData sheetId="34">
        <row r="34">
          <cell r="G34">
            <v>137220.9103</v>
          </cell>
        </row>
      </sheetData>
      <sheetData sheetId="35">
        <row r="36">
          <cell r="G36">
            <v>13853.51</v>
          </cell>
        </row>
        <row r="37">
          <cell r="G37">
            <v>38181.284400000004</v>
          </cell>
        </row>
      </sheetData>
      <sheetData sheetId="38">
        <row r="38">
          <cell r="G38">
            <v>-3318.67</v>
          </cell>
        </row>
        <row r="39">
          <cell r="G39">
            <v>-84435.81790000002</v>
          </cell>
        </row>
      </sheetData>
      <sheetData sheetId="39">
        <row r="36">
          <cell r="G36">
            <v>122057.87999999998</v>
          </cell>
        </row>
        <row r="37">
          <cell r="G37">
            <v>197853.3868</v>
          </cell>
        </row>
      </sheetData>
      <sheetData sheetId="40">
        <row r="35">
          <cell r="G35">
            <v>179170.6541</v>
          </cell>
        </row>
      </sheetData>
      <sheetData sheetId="41">
        <row r="35">
          <cell r="G35">
            <v>104464.7455</v>
          </cell>
        </row>
      </sheetData>
      <sheetData sheetId="42">
        <row r="36">
          <cell r="G36">
            <v>-7060.03</v>
          </cell>
        </row>
        <row r="37">
          <cell r="G37">
            <v>-312003.2998</v>
          </cell>
        </row>
      </sheetData>
      <sheetData sheetId="43">
        <row r="36">
          <cell r="G36">
            <v>13787.78</v>
          </cell>
        </row>
        <row r="37">
          <cell r="G37">
            <v>85293.76199999997</v>
          </cell>
        </row>
      </sheetData>
      <sheetData sheetId="44">
        <row r="36">
          <cell r="G36">
            <v>1986.7599999999932</v>
          </cell>
        </row>
        <row r="37">
          <cell r="G37">
            <v>-349106.1824</v>
          </cell>
        </row>
      </sheetData>
      <sheetData sheetId="45">
        <row r="36">
          <cell r="G36">
            <v>0</v>
          </cell>
        </row>
        <row r="37">
          <cell r="G37">
            <v>-90883.81150000003</v>
          </cell>
        </row>
      </sheetData>
      <sheetData sheetId="46">
        <row r="37">
          <cell r="G37">
            <v>0</v>
          </cell>
        </row>
        <row r="38">
          <cell r="G38">
            <v>-40836.1753</v>
          </cell>
        </row>
      </sheetData>
      <sheetData sheetId="47">
        <row r="35">
          <cell r="G35">
            <v>0</v>
          </cell>
        </row>
        <row r="36">
          <cell r="G36">
            <v>8160.954299999998</v>
          </cell>
        </row>
      </sheetData>
      <sheetData sheetId="49">
        <row r="36">
          <cell r="G36">
            <v>-105022.04</v>
          </cell>
        </row>
        <row r="37">
          <cell r="G37">
            <v>-176819.92650000003</v>
          </cell>
        </row>
      </sheetData>
      <sheetData sheetId="50">
        <row r="38">
          <cell r="G38">
            <v>988459.8288999998</v>
          </cell>
        </row>
      </sheetData>
      <sheetData sheetId="51">
        <row r="37">
          <cell r="G37">
            <v>-81117.47789999982</v>
          </cell>
        </row>
      </sheetData>
      <sheetData sheetId="52">
        <row r="37">
          <cell r="G37">
            <v>366798.11309999996</v>
          </cell>
        </row>
      </sheetData>
      <sheetData sheetId="53">
        <row r="38">
          <cell r="G38">
            <v>-2074.5399999999995</v>
          </cell>
        </row>
        <row r="39">
          <cell r="G39">
            <v>132425.8577</v>
          </cell>
        </row>
      </sheetData>
      <sheetData sheetId="54">
        <row r="36">
          <cell r="G36">
            <v>-193883.49210000003</v>
          </cell>
        </row>
      </sheetData>
      <sheetData sheetId="55">
        <row r="38">
          <cell r="G38">
            <v>-367776.81049999996</v>
          </cell>
        </row>
      </sheetData>
      <sheetData sheetId="56">
        <row r="35">
          <cell r="G35">
            <v>-18226.859999999997</v>
          </cell>
        </row>
        <row r="36">
          <cell r="G36">
            <v>172888.2889</v>
          </cell>
        </row>
      </sheetData>
      <sheetData sheetId="57">
        <row r="35">
          <cell r="G35">
            <v>34056.41860000002</v>
          </cell>
        </row>
      </sheetData>
      <sheetData sheetId="59">
        <row r="34">
          <cell r="G34">
            <v>114395.89799999999</v>
          </cell>
        </row>
      </sheetData>
      <sheetData sheetId="60">
        <row r="34">
          <cell r="G34">
            <v>-1033.8542999999954</v>
          </cell>
        </row>
      </sheetData>
      <sheetData sheetId="61">
        <row r="35">
          <cell r="G35">
            <v>114034.68029999999</v>
          </cell>
        </row>
      </sheetData>
      <sheetData sheetId="62">
        <row r="34">
          <cell r="G34">
            <v>-25102.692900000002</v>
          </cell>
        </row>
      </sheetData>
      <sheetData sheetId="63">
        <row r="34">
          <cell r="G34">
            <v>39054.61030000001</v>
          </cell>
        </row>
      </sheetData>
      <sheetData sheetId="64">
        <row r="34">
          <cell r="G34">
            <v>17966.2946</v>
          </cell>
        </row>
      </sheetData>
      <sheetData sheetId="65">
        <row r="34">
          <cell r="G34">
            <v>107763.99180000002</v>
          </cell>
        </row>
      </sheetData>
      <sheetData sheetId="66">
        <row r="34">
          <cell r="G34">
            <v>81147.36959999999</v>
          </cell>
        </row>
      </sheetData>
      <sheetData sheetId="67">
        <row r="34">
          <cell r="G34">
            <v>187946.25689999998</v>
          </cell>
        </row>
      </sheetData>
      <sheetData sheetId="68">
        <row r="34">
          <cell r="G34">
            <v>116056.6858</v>
          </cell>
        </row>
      </sheetData>
      <sheetData sheetId="69">
        <row r="34">
          <cell r="G34">
            <v>-39513.349399999985</v>
          </cell>
        </row>
      </sheetData>
      <sheetData sheetId="70">
        <row r="34">
          <cell r="G34">
            <v>320998.2284000001</v>
          </cell>
        </row>
      </sheetData>
      <sheetData sheetId="71">
        <row r="34">
          <cell r="G34">
            <v>114534.231</v>
          </cell>
        </row>
      </sheetData>
      <sheetData sheetId="72">
        <row r="34">
          <cell r="G34">
            <v>181391.39939999997</v>
          </cell>
        </row>
      </sheetData>
      <sheetData sheetId="73">
        <row r="34">
          <cell r="G34">
            <v>13769.468299999993</v>
          </cell>
        </row>
      </sheetData>
      <sheetData sheetId="74">
        <row r="35">
          <cell r="G35">
            <v>55010.35669999998</v>
          </cell>
        </row>
      </sheetData>
      <sheetData sheetId="75">
        <row r="35">
          <cell r="G35">
            <v>125548.07029999999</v>
          </cell>
        </row>
      </sheetData>
      <sheetData sheetId="76">
        <row r="35">
          <cell r="G35">
            <v>162709.38820000002</v>
          </cell>
        </row>
      </sheetData>
      <sheetData sheetId="77">
        <row r="34">
          <cell r="G34">
            <v>9479.01079999999</v>
          </cell>
        </row>
      </sheetData>
      <sheetData sheetId="78">
        <row r="34">
          <cell r="G34">
            <v>-309548.10880000005</v>
          </cell>
        </row>
      </sheetData>
      <sheetData sheetId="79">
        <row r="34">
          <cell r="G34">
            <v>5322.163100000003</v>
          </cell>
        </row>
      </sheetData>
      <sheetData sheetId="80">
        <row r="34">
          <cell r="G34">
            <v>-187702.4667</v>
          </cell>
        </row>
      </sheetData>
      <sheetData sheetId="81">
        <row r="34">
          <cell r="G34">
            <v>108139.00510000001</v>
          </cell>
        </row>
      </sheetData>
      <sheetData sheetId="82">
        <row r="34">
          <cell r="G34">
            <v>-315889.64690000005</v>
          </cell>
        </row>
      </sheetData>
      <sheetData sheetId="83">
        <row r="34">
          <cell r="G34">
            <v>1381.0474999999933</v>
          </cell>
        </row>
      </sheetData>
      <sheetData sheetId="84">
        <row r="34">
          <cell r="G34">
            <v>90730.9323</v>
          </cell>
        </row>
      </sheetData>
      <sheetData sheetId="85">
        <row r="34">
          <cell r="G34">
            <v>-241928.49019999994</v>
          </cell>
        </row>
        <row r="35">
          <cell r="G35">
            <v>-1607.0299999999975</v>
          </cell>
        </row>
      </sheetData>
      <sheetData sheetId="86">
        <row r="35">
          <cell r="G35">
            <v>660002.2955000002</v>
          </cell>
        </row>
      </sheetData>
      <sheetData sheetId="87">
        <row r="35">
          <cell r="G35">
            <v>706071.0601</v>
          </cell>
        </row>
      </sheetData>
      <sheetData sheetId="88">
        <row r="36">
          <cell r="G36">
            <v>-92695.79559999998</v>
          </cell>
        </row>
        <row r="37">
          <cell r="G37">
            <v>63484.36999999988</v>
          </cell>
        </row>
      </sheetData>
      <sheetData sheetId="89">
        <row r="38">
          <cell r="G38">
            <v>-319243.584209329</v>
          </cell>
        </row>
      </sheetData>
      <sheetData sheetId="90">
        <row r="35">
          <cell r="G35">
            <v>73425.03330000001</v>
          </cell>
        </row>
      </sheetData>
      <sheetData sheetId="91">
        <row r="34">
          <cell r="G34">
            <v>25102.34340000002</v>
          </cell>
        </row>
      </sheetData>
      <sheetData sheetId="92">
        <row r="34">
          <cell r="G34">
            <v>61866.06839999996</v>
          </cell>
        </row>
      </sheetData>
      <sheetData sheetId="93">
        <row r="35">
          <cell r="G35">
            <v>303800.0180999999</v>
          </cell>
        </row>
        <row r="36">
          <cell r="G36">
            <v>402999.49</v>
          </cell>
        </row>
      </sheetData>
      <sheetData sheetId="94">
        <row r="34">
          <cell r="G34">
            <v>-11258.25049999998</v>
          </cell>
        </row>
      </sheetData>
      <sheetData sheetId="95">
        <row r="34">
          <cell r="G34">
            <v>-295277.4986</v>
          </cell>
        </row>
      </sheetData>
      <sheetData sheetId="96">
        <row r="36">
          <cell r="G36">
            <v>-318755.4795</v>
          </cell>
        </row>
      </sheetData>
      <sheetData sheetId="97">
        <row r="34">
          <cell r="G34">
            <v>-44377.50189999999</v>
          </cell>
        </row>
      </sheetData>
      <sheetData sheetId="98">
        <row r="33">
          <cell r="G33">
            <v>6798.1023000000005</v>
          </cell>
        </row>
      </sheetData>
      <sheetData sheetId="99">
        <row r="34">
          <cell r="G34">
            <v>171774.8706</v>
          </cell>
        </row>
      </sheetData>
      <sheetData sheetId="100">
        <row r="34">
          <cell r="G34">
            <v>11862.9411</v>
          </cell>
        </row>
      </sheetData>
      <sheetData sheetId="101">
        <row r="34">
          <cell r="G34">
            <v>-4720.9889</v>
          </cell>
        </row>
      </sheetData>
      <sheetData sheetId="102">
        <row r="34">
          <cell r="G34">
            <v>153807.3697</v>
          </cell>
        </row>
      </sheetData>
      <sheetData sheetId="103">
        <row r="34">
          <cell r="G34">
            <v>101699.4428</v>
          </cell>
        </row>
      </sheetData>
      <sheetData sheetId="104">
        <row r="34">
          <cell r="G34">
            <v>6680.5893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54"/>
  <sheetViews>
    <sheetView zoomScalePageLayoutView="0" workbookViewId="0" topLeftCell="A40">
      <selection activeCell="A47" sqref="A47"/>
    </sheetView>
  </sheetViews>
  <sheetFormatPr defaultColWidth="9.140625" defaultRowHeight="15" outlineLevelCol="2"/>
  <cols>
    <col min="1" max="1" width="5.8515625" style="57" customWidth="1"/>
    <col min="2" max="2" width="40.421875" style="57" customWidth="1"/>
    <col min="3" max="3" width="14.57421875" style="130" customWidth="1"/>
    <col min="4" max="4" width="14.8515625" style="57" customWidth="1"/>
    <col min="5" max="5" width="13.28125" style="57" customWidth="1"/>
    <col min="6" max="6" width="13.140625" style="57" customWidth="1"/>
    <col min="7" max="7" width="14.57421875" style="57" customWidth="1"/>
    <col min="8" max="9" width="11.57421875" style="57" hidden="1" customWidth="1" outlineLevel="2"/>
    <col min="10" max="10" width="10.140625" style="57" hidden="1" customWidth="1" outlineLevel="2"/>
    <col min="11" max="11" width="10.421875" style="57" hidden="1" customWidth="1" outlineLevel="2"/>
    <col min="12" max="13" width="9.140625" style="57" hidden="1" customWidth="1" outlineLevel="2"/>
    <col min="14" max="14" width="9.140625" style="57" hidden="1" customWidth="1" outlineLevel="1"/>
    <col min="15" max="15" width="10.00390625" style="57" hidden="1" customWidth="1" outlineLevel="1"/>
    <col min="16" max="16" width="15.8515625" style="57" customWidth="1" collapsed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C7" s="131"/>
      <c r="F7" s="60" t="s">
        <v>53</v>
      </c>
      <c r="H7" s="60"/>
    </row>
    <row r="8" spans="1:8" s="59" customFormat="1" ht="12.75">
      <c r="A8" s="59" t="s">
        <v>3</v>
      </c>
      <c r="C8" s="131"/>
      <c r="F8" s="60" t="s">
        <v>133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132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330</v>
      </c>
      <c r="B13" s="64"/>
      <c r="C13" s="133"/>
      <c r="D13" s="69"/>
      <c r="E13" s="70"/>
      <c r="F13" s="70"/>
      <c r="G13" s="65">
        <f>'[1]Телевизионная 2а'!$G$35</f>
        <v>14969.739999999998</v>
      </c>
      <c r="H13" s="62"/>
      <c r="I13" s="62"/>
    </row>
    <row r="14" spans="1:9" s="67" customFormat="1" ht="15.75" thickBot="1">
      <c r="A14" s="63" t="s">
        <v>331</v>
      </c>
      <c r="B14" s="64"/>
      <c r="C14" s="133"/>
      <c r="D14" s="69"/>
      <c r="E14" s="70"/>
      <c r="F14" s="70"/>
      <c r="G14" s="65">
        <f>'[1]Телевизионная 2а'!$G$36</f>
        <v>60145.8612</v>
      </c>
      <c r="H14" s="62"/>
      <c r="I14" s="62"/>
    </row>
    <row r="15" s="59" customFormat="1" ht="6.75" customHeight="1">
      <c r="C15" s="131"/>
    </row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16" s="79" customFormat="1" ht="14.25">
      <c r="A17" s="134" t="s">
        <v>14</v>
      </c>
      <c r="B17" s="135" t="s">
        <v>15</v>
      </c>
      <c r="C17" s="136">
        <f>C18+C19+C20+C21</f>
        <v>10.34</v>
      </c>
      <c r="D17" s="76">
        <v>314817.48</v>
      </c>
      <c r="E17" s="76">
        <v>309491.34</v>
      </c>
      <c r="F17" s="76">
        <f aca="true" t="shared" si="0" ref="F17:F26">D17</f>
        <v>314817.48</v>
      </c>
      <c r="G17" s="77">
        <f>D17-E17</f>
        <v>5326.139999999956</v>
      </c>
      <c r="H17" s="137">
        <f>C17</f>
        <v>10.34</v>
      </c>
      <c r="O17" s="137"/>
      <c r="P17" s="138"/>
    </row>
    <row r="18" spans="1:9" s="59" customFormat="1" ht="15">
      <c r="A18" s="139" t="s">
        <v>16</v>
      </c>
      <c r="B18" s="140" t="s">
        <v>17</v>
      </c>
      <c r="C18" s="99">
        <v>3.46</v>
      </c>
      <c r="D18" s="83">
        <f>D17*I18</f>
        <v>105345.11419729207</v>
      </c>
      <c r="E18" s="83">
        <f>E17*I18</f>
        <v>103562.86618955515</v>
      </c>
      <c r="F18" s="83">
        <f t="shared" si="0"/>
        <v>105345.11419729207</v>
      </c>
      <c r="G18" s="84">
        <f aca="true" t="shared" si="1" ref="G18:G31">D18-E18</f>
        <v>1782.2480077369255</v>
      </c>
      <c r="H18" s="78">
        <f>C18</f>
        <v>3.46</v>
      </c>
      <c r="I18" s="59">
        <f>H18/H17</f>
        <v>0.33462282398452614</v>
      </c>
    </row>
    <row r="19" spans="1:9" s="59" customFormat="1" ht="15">
      <c r="A19" s="139" t="s">
        <v>18</v>
      </c>
      <c r="B19" s="140" t="s">
        <v>19</v>
      </c>
      <c r="C19" s="99">
        <v>1.69</v>
      </c>
      <c r="D19" s="83">
        <f>D17*I19</f>
        <v>51454.69450676982</v>
      </c>
      <c r="E19" s="83">
        <f>E17*I19</f>
        <v>50584.17452611218</v>
      </c>
      <c r="F19" s="83">
        <f t="shared" si="0"/>
        <v>51454.69450676982</v>
      </c>
      <c r="G19" s="84">
        <f t="shared" si="1"/>
        <v>870.5199806576347</v>
      </c>
      <c r="H19" s="78">
        <f>C19</f>
        <v>1.69</v>
      </c>
      <c r="I19" s="59">
        <f>H19/H17</f>
        <v>0.1634429400386847</v>
      </c>
    </row>
    <row r="20" spans="1:9" s="59" customFormat="1" ht="15">
      <c r="A20" s="139" t="s">
        <v>20</v>
      </c>
      <c r="B20" s="140" t="s">
        <v>21</v>
      </c>
      <c r="C20" s="99">
        <v>2.15</v>
      </c>
      <c r="D20" s="83">
        <f>D17*I20</f>
        <v>65460.114313346225</v>
      </c>
      <c r="E20" s="83">
        <f>E17*I20</f>
        <v>64352.64806576403</v>
      </c>
      <c r="F20" s="83">
        <f t="shared" si="0"/>
        <v>65460.114313346225</v>
      </c>
      <c r="G20" s="84">
        <f t="shared" si="1"/>
        <v>1107.466247582197</v>
      </c>
      <c r="H20" s="78">
        <f>C20</f>
        <v>2.15</v>
      </c>
      <c r="I20" s="59">
        <f>H20/H17</f>
        <v>0.2079303675048356</v>
      </c>
    </row>
    <row r="21" spans="1:9" s="59" customFormat="1" ht="15">
      <c r="A21" s="139" t="s">
        <v>22</v>
      </c>
      <c r="B21" s="140" t="s">
        <v>23</v>
      </c>
      <c r="C21" s="99">
        <v>3.04</v>
      </c>
      <c r="D21" s="83">
        <f>D17*I21</f>
        <v>92557.55698259188</v>
      </c>
      <c r="E21" s="83">
        <f>E17*I21</f>
        <v>90991.65121856867</v>
      </c>
      <c r="F21" s="83">
        <f t="shared" si="0"/>
        <v>92557.55698259188</v>
      </c>
      <c r="G21" s="84">
        <f t="shared" si="1"/>
        <v>1565.9057640232058</v>
      </c>
      <c r="H21" s="78">
        <f>C21</f>
        <v>3.04</v>
      </c>
      <c r="I21" s="59">
        <f>H21/H17</f>
        <v>0.2940038684719536</v>
      </c>
    </row>
    <row r="22" spans="1:7" s="88" customFormat="1" ht="15">
      <c r="A22" s="141" t="s">
        <v>25</v>
      </c>
      <c r="B22" s="141" t="s">
        <v>26</v>
      </c>
      <c r="C22" s="142">
        <v>0</v>
      </c>
      <c r="D22" s="83">
        <f>D17*I22</f>
        <v>0</v>
      </c>
      <c r="E22" s="83">
        <f>E17*I22</f>
        <v>0</v>
      </c>
      <c r="F22" s="87">
        <f t="shared" si="0"/>
        <v>0</v>
      </c>
      <c r="G22" s="77">
        <f t="shared" si="1"/>
        <v>0</v>
      </c>
    </row>
    <row r="23" spans="1:7" s="88" customFormat="1" ht="14.25">
      <c r="A23" s="141" t="s">
        <v>27</v>
      </c>
      <c r="B23" s="141" t="s">
        <v>28</v>
      </c>
      <c r="C23" s="142">
        <v>0</v>
      </c>
      <c r="D23" s="87">
        <v>0</v>
      </c>
      <c r="E23" s="87"/>
      <c r="F23" s="87">
        <f t="shared" si="0"/>
        <v>0</v>
      </c>
      <c r="G23" s="77">
        <f t="shared" si="1"/>
        <v>0</v>
      </c>
    </row>
    <row r="24" spans="1:7" s="88" customFormat="1" ht="14.25">
      <c r="A24" s="141" t="s">
        <v>29</v>
      </c>
      <c r="B24" s="141" t="s">
        <v>163</v>
      </c>
      <c r="C24" s="142" t="s">
        <v>333</v>
      </c>
      <c r="D24" s="87"/>
      <c r="E24" s="87"/>
      <c r="F24" s="87">
        <f t="shared" si="0"/>
        <v>0</v>
      </c>
      <c r="G24" s="77">
        <f t="shared" si="1"/>
        <v>0</v>
      </c>
    </row>
    <row r="25" spans="1:7" s="88" customFormat="1" ht="14.25">
      <c r="A25" s="141" t="s">
        <v>31</v>
      </c>
      <c r="B25" s="141" t="s">
        <v>116</v>
      </c>
      <c r="C25" s="142">
        <v>2.06</v>
      </c>
      <c r="D25" s="87">
        <v>59800.32</v>
      </c>
      <c r="E25" s="87">
        <v>61616.32</v>
      </c>
      <c r="F25" s="87">
        <f>G41</f>
        <v>290760.1732</v>
      </c>
      <c r="G25" s="77">
        <f t="shared" si="1"/>
        <v>-1816</v>
      </c>
    </row>
    <row r="26" spans="1:7" s="98" customFormat="1" ht="14.25">
      <c r="A26" s="135" t="s">
        <v>33</v>
      </c>
      <c r="B26" s="135" t="s">
        <v>34</v>
      </c>
      <c r="C26" s="143">
        <v>0</v>
      </c>
      <c r="D26" s="77">
        <v>0</v>
      </c>
      <c r="E26" s="77">
        <v>1478.38</v>
      </c>
      <c r="F26" s="87">
        <f t="shared" si="0"/>
        <v>0</v>
      </c>
      <c r="G26" s="77">
        <f t="shared" si="1"/>
        <v>-1478.38</v>
      </c>
    </row>
    <row r="27" spans="1:16" s="98" customFormat="1" ht="14.25">
      <c r="A27" s="135" t="s">
        <v>35</v>
      </c>
      <c r="B27" s="135" t="s">
        <v>36</v>
      </c>
      <c r="C27" s="136"/>
      <c r="D27" s="77">
        <f>SUM(D28:D31)</f>
        <v>1565599.2599999998</v>
      </c>
      <c r="E27" s="77">
        <f>SUM(E28:E31)</f>
        <v>1583646.1800000002</v>
      </c>
      <c r="F27" s="77">
        <f>SUM(F28:F31)</f>
        <v>1565599.2599999998</v>
      </c>
      <c r="G27" s="77">
        <f t="shared" si="1"/>
        <v>-18046.92000000039</v>
      </c>
      <c r="P27" s="292"/>
    </row>
    <row r="28" spans="1:7" ht="15">
      <c r="A28" s="140" t="s">
        <v>37</v>
      </c>
      <c r="B28" s="34" t="s">
        <v>167</v>
      </c>
      <c r="C28" s="289" t="s">
        <v>406</v>
      </c>
      <c r="D28" s="291">
        <v>52460.26</v>
      </c>
      <c r="E28" s="291">
        <v>51859.24</v>
      </c>
      <c r="F28" s="291">
        <f>D28</f>
        <v>52460.26</v>
      </c>
      <c r="G28" s="84">
        <f t="shared" si="1"/>
        <v>601.0200000000041</v>
      </c>
    </row>
    <row r="29" spans="1:7" ht="15">
      <c r="A29" s="140" t="s">
        <v>39</v>
      </c>
      <c r="B29" s="34" t="s">
        <v>138</v>
      </c>
      <c r="C29" s="289" t="s">
        <v>409</v>
      </c>
      <c r="D29" s="291">
        <v>215724.99</v>
      </c>
      <c r="E29" s="291">
        <v>224366.98</v>
      </c>
      <c r="F29" s="291">
        <f>D29</f>
        <v>215724.99</v>
      </c>
      <c r="G29" s="84">
        <f t="shared" si="1"/>
        <v>-8641.99000000002</v>
      </c>
    </row>
    <row r="30" spans="1:7" ht="15">
      <c r="A30" s="140" t="s">
        <v>42</v>
      </c>
      <c r="B30" s="140" t="s">
        <v>421</v>
      </c>
      <c r="C30" s="290" t="s">
        <v>408</v>
      </c>
      <c r="D30" s="291">
        <v>367740.42</v>
      </c>
      <c r="E30" s="291">
        <v>382087.3</v>
      </c>
      <c r="F30" s="291">
        <f>D30</f>
        <v>367740.42</v>
      </c>
      <c r="G30" s="84">
        <f t="shared" si="1"/>
        <v>-14346.880000000005</v>
      </c>
    </row>
    <row r="31" spans="1:7" ht="15">
      <c r="A31" s="140" t="s">
        <v>41</v>
      </c>
      <c r="B31" s="140" t="s">
        <v>43</v>
      </c>
      <c r="C31" s="289" t="s">
        <v>407</v>
      </c>
      <c r="D31" s="291">
        <v>929673.59</v>
      </c>
      <c r="E31" s="291">
        <v>925332.66</v>
      </c>
      <c r="F31" s="291">
        <f>D31</f>
        <v>929673.59</v>
      </c>
      <c r="G31" s="84">
        <f t="shared" si="1"/>
        <v>4340.929999999935</v>
      </c>
    </row>
    <row r="32" spans="1:9" s="102" customFormat="1" ht="16.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1311398.16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132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412</v>
      </c>
      <c r="B35" s="64"/>
      <c r="C35" s="133"/>
      <c r="D35" s="69"/>
      <c r="E35" s="70"/>
      <c r="F35" s="70"/>
      <c r="G35" s="145">
        <f>G13+E26-F26</f>
        <v>16448.12</v>
      </c>
      <c r="H35" s="62"/>
      <c r="I35" s="62"/>
    </row>
    <row r="36" spans="1:16" s="67" customFormat="1" ht="15.75" thickBot="1">
      <c r="A36" s="63" t="s">
        <v>413</v>
      </c>
      <c r="B36" s="64"/>
      <c r="C36" s="133"/>
      <c r="D36" s="69"/>
      <c r="E36" s="70"/>
      <c r="F36" s="70"/>
      <c r="G36" s="145">
        <f>G14+E25-F25</f>
        <v>-168997.99200000003</v>
      </c>
      <c r="H36" s="62"/>
      <c r="I36" s="62"/>
      <c r="P36" s="146"/>
    </row>
    <row r="37" spans="1:13" s="102" customFormat="1" ht="9.75" customHeight="1">
      <c r="A37" s="104"/>
      <c r="B37" s="104"/>
      <c r="C37" s="147"/>
      <c r="D37" s="104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1" ht="23.25" customHeight="1">
      <c r="A38" s="377" t="s">
        <v>44</v>
      </c>
      <c r="B38" s="377"/>
      <c r="C38" s="377"/>
      <c r="D38" s="377"/>
      <c r="E38" s="377"/>
      <c r="F38" s="377"/>
      <c r="G38" s="377"/>
      <c r="H38" s="148"/>
      <c r="I38" s="148"/>
      <c r="J38" s="148"/>
      <c r="K38" s="148"/>
    </row>
    <row r="40" spans="1:12" s="74" customFormat="1" ht="37.5" customHeight="1">
      <c r="A40" s="72" t="s">
        <v>11</v>
      </c>
      <c r="B40" s="393" t="s">
        <v>45</v>
      </c>
      <c r="C40" s="394"/>
      <c r="D40" s="395"/>
      <c r="E40" s="72" t="s">
        <v>165</v>
      </c>
      <c r="F40" s="72" t="s">
        <v>164</v>
      </c>
      <c r="G40" s="72" t="s">
        <v>46</v>
      </c>
      <c r="L40" s="108"/>
    </row>
    <row r="41" spans="1:12" s="115" customFormat="1" ht="15" customHeight="1">
      <c r="A41" s="109" t="s">
        <v>47</v>
      </c>
      <c r="B41" s="388" t="s">
        <v>111</v>
      </c>
      <c r="C41" s="389"/>
      <c r="D41" s="390"/>
      <c r="E41" s="111"/>
      <c r="F41" s="111"/>
      <c r="G41" s="112">
        <f>SUM(G42:O46)</f>
        <v>290760.1732</v>
      </c>
      <c r="L41" s="116"/>
    </row>
    <row r="42" spans="1:12" ht="15.75" customHeight="1">
      <c r="A42" s="140" t="s">
        <v>16</v>
      </c>
      <c r="B42" s="385" t="s">
        <v>375</v>
      </c>
      <c r="C42" s="386"/>
      <c r="D42" s="387"/>
      <c r="E42" s="360"/>
      <c r="F42" s="354" t="s">
        <v>634</v>
      </c>
      <c r="G42" s="319">
        <v>952</v>
      </c>
      <c r="L42" s="120"/>
    </row>
    <row r="43" spans="1:12" ht="15.75" customHeight="1">
      <c r="A43" s="140" t="s">
        <v>18</v>
      </c>
      <c r="B43" s="385" t="s">
        <v>689</v>
      </c>
      <c r="C43" s="386"/>
      <c r="D43" s="387"/>
      <c r="E43" s="360" t="s">
        <v>229</v>
      </c>
      <c r="F43" s="354">
        <v>0.04</v>
      </c>
      <c r="G43" s="319">
        <v>8802.24</v>
      </c>
      <c r="L43" s="120"/>
    </row>
    <row r="44" spans="1:12" ht="15.75" customHeight="1">
      <c r="A44" s="140" t="s">
        <v>20</v>
      </c>
      <c r="B44" s="385" t="s">
        <v>649</v>
      </c>
      <c r="C44" s="386"/>
      <c r="D44" s="387"/>
      <c r="E44" s="360" t="s">
        <v>169</v>
      </c>
      <c r="F44" s="354">
        <v>80</v>
      </c>
      <c r="G44" s="319">
        <v>280389.77</v>
      </c>
      <c r="L44" s="120"/>
    </row>
    <row r="45" spans="1:12" ht="15.75" customHeight="1">
      <c r="A45" s="140" t="s">
        <v>22</v>
      </c>
      <c r="B45" s="382"/>
      <c r="C45" s="383"/>
      <c r="D45" s="384"/>
      <c r="E45" s="152"/>
      <c r="F45" s="153"/>
      <c r="G45" s="154"/>
      <c r="L45" s="120"/>
    </row>
    <row r="46" spans="1:12" ht="15.75" customHeight="1">
      <c r="A46" s="140" t="s">
        <v>24</v>
      </c>
      <c r="B46" s="149" t="s">
        <v>190</v>
      </c>
      <c r="C46" s="150"/>
      <c r="D46" s="151"/>
      <c r="E46" s="152"/>
      <c r="F46" s="153"/>
      <c r="G46" s="154">
        <f>E25*1%</f>
        <v>616.1632</v>
      </c>
      <c r="L46" s="120"/>
    </row>
    <row r="47" spans="2:6" ht="13.5" customHeight="1">
      <c r="B47" s="155"/>
      <c r="D47" s="155"/>
      <c r="E47" s="155"/>
      <c r="F47" s="155"/>
    </row>
    <row r="48" spans="1:5" s="59" customFormat="1" ht="12.75">
      <c r="A48" s="59" t="s">
        <v>55</v>
      </c>
      <c r="C48" s="131" t="s">
        <v>49</v>
      </c>
      <c r="E48" s="59" t="s">
        <v>90</v>
      </c>
    </row>
    <row r="49" s="59" customFormat="1" ht="12.75">
      <c r="C49" s="131"/>
    </row>
    <row r="50" spans="3:6" s="67" customFormat="1" ht="15">
      <c r="C50" s="156"/>
      <c r="F50" s="127" t="s">
        <v>684</v>
      </c>
    </row>
    <row r="51" spans="1:3" s="59" customFormat="1" ht="9" customHeight="1">
      <c r="A51" s="59" t="s">
        <v>50</v>
      </c>
      <c r="C51" s="131"/>
    </row>
    <row r="52" spans="3:10" s="59" customFormat="1" ht="12.75">
      <c r="C52" s="131" t="s">
        <v>51</v>
      </c>
      <c r="G52" s="157"/>
      <c r="H52" s="157"/>
      <c r="I52" s="157"/>
      <c r="J52" s="157"/>
    </row>
    <row r="53" spans="3:9" s="59" customFormat="1" ht="12.75">
      <c r="C53" s="131"/>
      <c r="I53" s="59" t="s">
        <v>193</v>
      </c>
    </row>
    <row r="54" s="59" customFormat="1" ht="12.75">
      <c r="C54" s="131"/>
    </row>
  </sheetData>
  <sheetProtection/>
  <mergeCells count="16">
    <mergeCell ref="B45:D45"/>
    <mergeCell ref="B44:D44"/>
    <mergeCell ref="B41:D41"/>
    <mergeCell ref="B42:D42"/>
    <mergeCell ref="B43:D43"/>
    <mergeCell ref="A33:C33"/>
    <mergeCell ref="A38:G38"/>
    <mergeCell ref="B40:D40"/>
    <mergeCell ref="A1:K1"/>
    <mergeCell ref="A2:K2"/>
    <mergeCell ref="A3:K3"/>
    <mergeCell ref="A5:K5"/>
    <mergeCell ref="A9:K9"/>
    <mergeCell ref="A32:F32"/>
    <mergeCell ref="A10:K10"/>
    <mergeCell ref="A11:K11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4"/>
  <sheetViews>
    <sheetView zoomScalePageLayoutView="0" workbookViewId="0" topLeftCell="A40">
      <selection activeCell="F44" sqref="F44:G49"/>
    </sheetView>
  </sheetViews>
  <sheetFormatPr defaultColWidth="9.140625" defaultRowHeight="15" outlineLevelCol="1"/>
  <cols>
    <col min="1" max="1" width="4.7109375" style="35" customWidth="1"/>
    <col min="2" max="2" width="47.7109375" style="35" customWidth="1"/>
    <col min="3" max="3" width="13.28125" style="35" customWidth="1"/>
    <col min="4" max="4" width="13.140625" style="35" customWidth="1"/>
    <col min="5" max="5" width="13.8515625" style="35" customWidth="1"/>
    <col min="6" max="6" width="13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10.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5" s="67" customFormat="1" ht="16.5" customHeight="1">
      <c r="A7" s="67" t="s">
        <v>2</v>
      </c>
      <c r="E7" s="127" t="s">
        <v>60</v>
      </c>
    </row>
    <row r="8" spans="1:10" s="67" customFormat="1" ht="15">
      <c r="A8" s="67" t="s">
        <v>3</v>
      </c>
      <c r="E8" s="295" t="s">
        <v>419</v>
      </c>
      <c r="I8" s="311">
        <v>637.7</v>
      </c>
      <c r="J8" s="311">
        <v>2545.8</v>
      </c>
    </row>
    <row r="9" s="67" customFormat="1" ht="8.2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'[1]Социалистическая 6'!$G$36</f>
        <v>86554.33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'[1]Социалистическая 6'!$G$37</f>
        <v>453063.1087000001</v>
      </c>
      <c r="H15" s="62"/>
      <c r="I15" s="62"/>
    </row>
    <row r="16" s="67" customFormat="1" ht="7.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28.5">
      <c r="A18" s="75" t="s">
        <v>14</v>
      </c>
      <c r="B18" s="41" t="s">
        <v>15</v>
      </c>
      <c r="C18" s="136">
        <f>C19+C20+C21+C22</f>
        <v>10.34</v>
      </c>
      <c r="D18" s="76">
        <v>315988.65</v>
      </c>
      <c r="E18" s="76">
        <v>337179.02</v>
      </c>
      <c r="F18" s="76">
        <f>D18</f>
        <v>315988.65</v>
      </c>
      <c r="G18" s="77">
        <f>D18-E18</f>
        <v>-21190.369999999995</v>
      </c>
      <c r="H18" s="78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105737.01441005805</v>
      </c>
      <c r="E19" s="83">
        <f>E18*I19</f>
        <v>112827.79586073503</v>
      </c>
      <c r="F19" s="83">
        <f>D19</f>
        <v>105737.01441005805</v>
      </c>
      <c r="G19" s="84">
        <f>D19-E19</f>
        <v>-7090.781450676979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51646.11397485493</v>
      </c>
      <c r="E20" s="83">
        <f>E18*I20</f>
        <v>55109.53034816247</v>
      </c>
      <c r="F20" s="83">
        <f>D20</f>
        <v>51646.11397485493</v>
      </c>
      <c r="G20" s="84">
        <f>D20-E20</f>
        <v>-3463.41637330754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65703.63612185688</v>
      </c>
      <c r="E21" s="83">
        <f>E18*I21</f>
        <v>70109.75754352032</v>
      </c>
      <c r="F21" s="83">
        <f>D21</f>
        <v>65703.63612185688</v>
      </c>
      <c r="G21" s="84">
        <f>D21-E21</f>
        <v>-4406.12142166344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92901.88549323019</v>
      </c>
      <c r="E22" s="83">
        <f>E18*I22</f>
        <v>99131.93624758221</v>
      </c>
      <c r="F22" s="83">
        <f>D22</f>
        <v>92901.88549323019</v>
      </c>
      <c r="G22" s="84">
        <f>D22-E22</f>
        <v>-6230.050754352022</v>
      </c>
      <c r="H22" s="78">
        <f>C22</f>
        <v>3.04</v>
      </c>
      <c r="I22" s="67">
        <f>H22/H18</f>
        <v>0.2940038684719536</v>
      </c>
    </row>
    <row r="23" spans="1:7" s="39" customFormat="1" ht="14.25">
      <c r="A23" s="41" t="s">
        <v>25</v>
      </c>
      <c r="B23" s="141" t="s">
        <v>26</v>
      </c>
      <c r="C23" s="142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1" t="s">
        <v>28</v>
      </c>
      <c r="C24" s="142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1" t="s">
        <v>163</v>
      </c>
      <c r="C25" s="142">
        <v>12.54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7" s="39" customFormat="1" ht="14.25">
      <c r="A26" s="41" t="s">
        <v>31</v>
      </c>
      <c r="B26" s="141" t="s">
        <v>116</v>
      </c>
      <c r="C26" s="142">
        <v>10</v>
      </c>
      <c r="D26" s="77">
        <v>305453</v>
      </c>
      <c r="E26" s="77">
        <v>301387.55</v>
      </c>
      <c r="F26" s="76">
        <f>F43</f>
        <v>121818.38549999999</v>
      </c>
      <c r="G26" s="77">
        <f t="shared" si="1"/>
        <v>4065.4500000000116</v>
      </c>
    </row>
    <row r="27" spans="1:7" s="39" customFormat="1" ht="14.25">
      <c r="A27" s="41" t="s">
        <v>33</v>
      </c>
      <c r="B27" s="135" t="s">
        <v>34</v>
      </c>
      <c r="C27" s="136">
        <v>0</v>
      </c>
      <c r="D27" s="77">
        <v>0</v>
      </c>
      <c r="E27" s="77">
        <v>862.1</v>
      </c>
      <c r="F27" s="76">
        <f>D27</f>
        <v>0</v>
      </c>
      <c r="G27" s="77">
        <f t="shared" si="1"/>
        <v>-862.1</v>
      </c>
    </row>
    <row r="28" spans="1:7" s="39" customFormat="1" ht="14.25">
      <c r="A28" s="41" t="s">
        <v>35</v>
      </c>
      <c r="B28" s="135" t="s">
        <v>36</v>
      </c>
      <c r="C28" s="136"/>
      <c r="D28" s="77">
        <f>SUM(D29:D32)</f>
        <v>1805557.24</v>
      </c>
      <c r="E28" s="77">
        <f>SUM(E29:E32)</f>
        <v>1846023.3</v>
      </c>
      <c r="F28" s="76">
        <f t="shared" si="0"/>
        <v>1805557.24</v>
      </c>
      <c r="G28" s="77">
        <f t="shared" si="1"/>
        <v>-40466.060000000056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9521.36</v>
      </c>
      <c r="E29" s="84">
        <v>9645.7</v>
      </c>
      <c r="F29" s="83">
        <f>D29</f>
        <v>9521.36</v>
      </c>
      <c r="G29" s="84">
        <f t="shared" si="1"/>
        <v>-124.34000000000015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313498.12</v>
      </c>
      <c r="E30" s="84">
        <v>327402.97</v>
      </c>
      <c r="F30" s="83">
        <f t="shared" si="0"/>
        <v>313498.12</v>
      </c>
      <c r="G30" s="84">
        <f t="shared" si="1"/>
        <v>-13904.849999999977</v>
      </c>
    </row>
    <row r="31" spans="1:7" ht="15">
      <c r="A31" s="34" t="s">
        <v>42</v>
      </c>
      <c r="B31" s="34" t="s">
        <v>421</v>
      </c>
      <c r="C31" s="290" t="s">
        <v>408</v>
      </c>
      <c r="D31" s="84">
        <v>493118.46</v>
      </c>
      <c r="E31" s="84">
        <v>503017.33</v>
      </c>
      <c r="F31" s="83">
        <f t="shared" si="0"/>
        <v>493118.46</v>
      </c>
      <c r="G31" s="84">
        <f t="shared" si="1"/>
        <v>-9898.869999999995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989419.3</v>
      </c>
      <c r="E32" s="84">
        <v>1005957.3</v>
      </c>
      <c r="F32" s="83">
        <f t="shared" si="0"/>
        <v>989419.3</v>
      </c>
      <c r="G32" s="84">
        <f t="shared" si="1"/>
        <v>-16538</v>
      </c>
    </row>
    <row r="33" spans="1:10" s="102" customFormat="1" ht="18.75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803196.07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87416.43000000001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632632.2732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2:5" ht="9" customHeight="1">
      <c r="B39" s="155"/>
      <c r="C39" s="155"/>
      <c r="D39" s="155"/>
      <c r="E39" s="155"/>
    </row>
    <row r="40" spans="1:9" ht="25.5" customHeight="1">
      <c r="A40" s="377" t="s">
        <v>44</v>
      </c>
      <c r="B40" s="377"/>
      <c r="C40" s="377"/>
      <c r="D40" s="377"/>
      <c r="E40" s="377"/>
      <c r="F40" s="377"/>
      <c r="G40" s="377"/>
      <c r="H40" s="377"/>
      <c r="I40" s="377"/>
    </row>
    <row r="41" ht="5.25" customHeight="1"/>
    <row r="42" spans="1:7" s="172" customFormat="1" ht="28.5" customHeight="1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19"/>
    </row>
    <row r="43" spans="1:7" s="115" customFormat="1" ht="15" customHeight="1">
      <c r="A43" s="109" t="s">
        <v>47</v>
      </c>
      <c r="B43" s="403" t="s">
        <v>111</v>
      </c>
      <c r="C43" s="425"/>
      <c r="D43" s="173"/>
      <c r="E43" s="173"/>
      <c r="F43" s="430">
        <f>SUM(F44:G49)</f>
        <v>121818.38549999999</v>
      </c>
      <c r="G43" s="419"/>
    </row>
    <row r="44" spans="1:7" ht="15.75" customHeight="1">
      <c r="A44" s="34" t="s">
        <v>16</v>
      </c>
      <c r="B44" s="443" t="s">
        <v>677</v>
      </c>
      <c r="C44" s="444"/>
      <c r="D44" s="360" t="s">
        <v>229</v>
      </c>
      <c r="E44" s="360">
        <v>0.04</v>
      </c>
      <c r="F44" s="431">
        <v>9939.71</v>
      </c>
      <c r="G44" s="431"/>
    </row>
    <row r="45" spans="1:7" ht="15.75" customHeight="1">
      <c r="A45" s="34" t="s">
        <v>18</v>
      </c>
      <c r="B45" s="411" t="s">
        <v>696</v>
      </c>
      <c r="C45" s="426"/>
      <c r="D45" s="152"/>
      <c r="E45" s="152"/>
      <c r="F45" s="429">
        <v>44500</v>
      </c>
      <c r="G45" s="429"/>
    </row>
    <row r="46" spans="1:7" ht="15.75" customHeight="1">
      <c r="A46" s="34" t="s">
        <v>20</v>
      </c>
      <c r="B46" s="411" t="s">
        <v>694</v>
      </c>
      <c r="C46" s="426"/>
      <c r="D46" s="152"/>
      <c r="E46" s="152"/>
      <c r="F46" s="429">
        <v>48000</v>
      </c>
      <c r="G46" s="429"/>
    </row>
    <row r="47" spans="1:7" ht="15.75" customHeight="1">
      <c r="A47" s="34" t="s">
        <v>22</v>
      </c>
      <c r="B47" s="382" t="s">
        <v>720</v>
      </c>
      <c r="C47" s="432"/>
      <c r="D47" s="152"/>
      <c r="E47" s="152" t="s">
        <v>634</v>
      </c>
      <c r="F47" s="424">
        <v>7126</v>
      </c>
      <c r="G47" s="424"/>
    </row>
    <row r="48" spans="1:7" ht="15.75" customHeight="1">
      <c r="A48" s="34" t="s">
        <v>24</v>
      </c>
      <c r="B48" s="382" t="s">
        <v>720</v>
      </c>
      <c r="C48" s="432"/>
      <c r="D48" s="152"/>
      <c r="E48" s="152" t="s">
        <v>634</v>
      </c>
      <c r="F48" s="424">
        <v>9238.8</v>
      </c>
      <c r="G48" s="424"/>
    </row>
    <row r="49" spans="1:7" ht="15.75" customHeight="1">
      <c r="A49" s="34" t="s">
        <v>103</v>
      </c>
      <c r="B49" s="440" t="s">
        <v>191</v>
      </c>
      <c r="C49" s="441"/>
      <c r="D49" s="191"/>
      <c r="E49" s="191"/>
      <c r="F49" s="429">
        <f>E26*1%</f>
        <v>3013.8755</v>
      </c>
      <c r="G49" s="429"/>
    </row>
    <row r="50" s="67" customFormat="1" ht="15"/>
    <row r="51" spans="1:6" s="67" customFormat="1" ht="15">
      <c r="A51" s="67" t="s">
        <v>55</v>
      </c>
      <c r="C51" s="67" t="s">
        <v>49</v>
      </c>
      <c r="F51" s="67" t="s">
        <v>90</v>
      </c>
    </row>
    <row r="52" s="67" customFormat="1" ht="13.5" customHeight="1">
      <c r="F52" s="127" t="s">
        <v>438</v>
      </c>
    </row>
    <row r="53" s="67" customFormat="1" ht="15">
      <c r="A53" s="67" t="s">
        <v>50</v>
      </c>
    </row>
    <row r="54" spans="3:7" s="67" customFormat="1" ht="15">
      <c r="C54" s="129" t="s">
        <v>51</v>
      </c>
      <c r="E54" s="129"/>
      <c r="F54" s="129"/>
      <c r="G54" s="129"/>
    </row>
    <row r="55" s="67" customFormat="1" ht="15"/>
    <row r="56" s="67" customFormat="1" ht="15"/>
  </sheetData>
  <sheetProtection/>
  <mergeCells count="26">
    <mergeCell ref="B47:C47"/>
    <mergeCell ref="F47:G47"/>
    <mergeCell ref="B48:C48"/>
    <mergeCell ref="F48:G48"/>
    <mergeCell ref="F49:G49"/>
    <mergeCell ref="F43:G43"/>
    <mergeCell ref="F44:G44"/>
    <mergeCell ref="B42:C42"/>
    <mergeCell ref="B43:C43"/>
    <mergeCell ref="B44:C44"/>
    <mergeCell ref="B49:C49"/>
    <mergeCell ref="B45:C45"/>
    <mergeCell ref="A1:I1"/>
    <mergeCell ref="A2:I2"/>
    <mergeCell ref="A5:I5"/>
    <mergeCell ref="A10:I10"/>
    <mergeCell ref="A3:K3"/>
    <mergeCell ref="F42:G42"/>
    <mergeCell ref="F46:G46"/>
    <mergeCell ref="A11:I11"/>
    <mergeCell ref="A40:I40"/>
    <mergeCell ref="A12:I12"/>
    <mergeCell ref="A34:C34"/>
    <mergeCell ref="A33:F33"/>
    <mergeCell ref="F45:G45"/>
    <mergeCell ref="B46:C46"/>
  </mergeCells>
  <printOptions/>
  <pageMargins left="0" right="0" top="0" bottom="0" header="0.31496062992125984" footer="0.31496062992125984"/>
  <pageSetup horizontalDpi="600" verticalDpi="600" orientation="portrait" paperSize="9" scale="97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PageLayoutView="0" workbookViewId="0" topLeftCell="A34">
      <selection activeCell="F42" sqref="F42:G42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264</v>
      </c>
      <c r="H7" s="60"/>
    </row>
    <row r="8" spans="1:10" s="59" customFormat="1" ht="12.75">
      <c r="A8" s="59" t="s">
        <v>3</v>
      </c>
      <c r="F8" s="305" t="s">
        <v>522</v>
      </c>
      <c r="H8" s="308">
        <f>I8+J8</f>
        <v>2022.31</v>
      </c>
      <c r="I8" s="61">
        <f>330.3+637.01</f>
        <v>967.31</v>
      </c>
      <c r="J8" s="61">
        <v>1055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'[1]А.Королева 29 гаражи'!$G$33+'[1]А.Королева 29'!$G$34</f>
        <v>2077.1134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10.350000000000001</v>
      </c>
      <c r="D16" s="76">
        <v>270425.5</v>
      </c>
      <c r="E16" s="76">
        <v>221125.6</v>
      </c>
      <c r="F16" s="76">
        <f aca="true" t="shared" si="0" ref="F16:F22">D16</f>
        <v>270425.5</v>
      </c>
      <c r="G16" s="77">
        <f>D16-E16</f>
        <v>49299.899999999994</v>
      </c>
      <c r="H16" s="78">
        <f>C16</f>
        <v>10.350000000000001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90403.11400966183</v>
      </c>
      <c r="E17" s="83">
        <f>E16*I17</f>
        <v>73922.18125603865</v>
      </c>
      <c r="F17" s="83">
        <f t="shared" si="0"/>
        <v>90403.11400966183</v>
      </c>
      <c r="G17" s="84">
        <f>D17-E17</f>
        <v>16480.932753623187</v>
      </c>
      <c r="H17" s="78">
        <f>C17</f>
        <v>3.46</v>
      </c>
      <c r="I17" s="59">
        <f>H17/H16</f>
        <v>0.3342995169082125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44156.4342995169</v>
      </c>
      <c r="E18" s="83">
        <f>E16*I18</f>
        <v>36106.49893719806</v>
      </c>
      <c r="F18" s="83">
        <f t="shared" si="0"/>
        <v>44156.4342995169</v>
      </c>
      <c r="G18" s="84">
        <f>D18-E18</f>
        <v>8049.935362318836</v>
      </c>
      <c r="H18" s="78">
        <f>C18</f>
        <v>1.69</v>
      </c>
      <c r="I18" s="59">
        <f>H18/H16</f>
        <v>0.16328502415458934</v>
      </c>
    </row>
    <row r="19" spans="1:9" s="59" customFormat="1" ht="15">
      <c r="A19" s="81" t="s">
        <v>20</v>
      </c>
      <c r="B19" s="34" t="s">
        <v>21</v>
      </c>
      <c r="C19" s="82">
        <v>2.16</v>
      </c>
      <c r="D19" s="83">
        <f>D16*I19</f>
        <v>56436.626086956516</v>
      </c>
      <c r="E19" s="83">
        <f>E16*I19</f>
        <v>46147.95130434782</v>
      </c>
      <c r="F19" s="83">
        <f t="shared" si="0"/>
        <v>56436.626086956516</v>
      </c>
      <c r="G19" s="84">
        <f>D19-E19</f>
        <v>10288.674782608694</v>
      </c>
      <c r="H19" s="78">
        <f>C19</f>
        <v>2.16</v>
      </c>
      <c r="I19" s="59">
        <f>H19/H16</f>
        <v>0.20869565217391303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79429.32560386472</v>
      </c>
      <c r="E20" s="83">
        <f>E16*I20</f>
        <v>64948.968502415446</v>
      </c>
      <c r="F20" s="83">
        <f t="shared" si="0"/>
        <v>79429.32560386472</v>
      </c>
      <c r="G20" s="84">
        <f>D20-E20</f>
        <v>14480.357101449277</v>
      </c>
      <c r="H20" s="78">
        <f>C20</f>
        <v>3.04</v>
      </c>
      <c r="I20" s="59">
        <f>H20/H16</f>
        <v>0.29371980676328496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205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53766.48</v>
      </c>
      <c r="E24" s="87">
        <v>35052.73</v>
      </c>
      <c r="F24" s="87">
        <f>F38</f>
        <v>74509.1873</v>
      </c>
      <c r="G24" s="77">
        <f t="shared" si="1"/>
        <v>18713.75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47191.740000000005</v>
      </c>
      <c r="E26" s="77">
        <f>SUM(E27:E30)</f>
        <v>34421.21000000001</v>
      </c>
      <c r="F26" s="77">
        <f>SUM(F27:F30)</f>
        <v>47191.740000000005</v>
      </c>
      <c r="G26" s="77">
        <f t="shared" si="1"/>
        <v>12770.529999999999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27629.41</v>
      </c>
      <c r="E27" s="84">
        <v>18349.74</v>
      </c>
      <c r="F27" s="84">
        <f>D27</f>
        <v>27629.41</v>
      </c>
      <c r="G27" s="84">
        <f t="shared" si="1"/>
        <v>9279.669999999998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2735.84</v>
      </c>
      <c r="E28" s="84">
        <v>4519.6</v>
      </c>
      <c r="F28" s="84">
        <f>D28</f>
        <v>2735.84</v>
      </c>
      <c r="G28" s="84">
        <f t="shared" si="1"/>
        <v>-1783.7600000000002</v>
      </c>
    </row>
    <row r="29" spans="1:7" ht="15">
      <c r="A29" s="34" t="s">
        <v>42</v>
      </c>
      <c r="B29" s="51" t="s">
        <v>421</v>
      </c>
      <c r="C29" s="290" t="s">
        <v>408</v>
      </c>
      <c r="D29" s="84">
        <v>16826.49</v>
      </c>
      <c r="E29" s="84">
        <v>11551.87</v>
      </c>
      <c r="F29" s="84">
        <f>D29</f>
        <v>16826.49</v>
      </c>
      <c r="G29" s="84">
        <f t="shared" si="1"/>
        <v>5274.620000000001</v>
      </c>
    </row>
    <row r="30" spans="1:7" s="276" customFormat="1" ht="15">
      <c r="A30" s="271" t="s">
        <v>41</v>
      </c>
      <c r="B30" s="271" t="s">
        <v>43</v>
      </c>
      <c r="C30" s="144">
        <v>0</v>
      </c>
      <c r="D30" s="213">
        <v>0</v>
      </c>
      <c r="E30" s="213">
        <v>0</v>
      </c>
      <c r="F30" s="213">
        <f>D30</f>
        <v>0</v>
      </c>
      <c r="G30" s="84">
        <f t="shared" si="1"/>
        <v>0</v>
      </c>
    </row>
    <row r="31" spans="1:9" s="102" customFormat="1" ht="19.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284">
        <v>203223.32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-37379.3439</v>
      </c>
      <c r="H34" s="62"/>
      <c r="I34" s="62"/>
    </row>
    <row r="35" spans="1:11" ht="31.5" customHeight="1">
      <c r="A35" s="546" t="s">
        <v>182</v>
      </c>
      <c r="B35" s="547"/>
      <c r="C35" s="547"/>
      <c r="D35" s="547"/>
      <c r="E35" s="547"/>
      <c r="F35" s="547"/>
      <c r="G35" s="54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SUM(F39:G42)</f>
        <v>74509.1873</v>
      </c>
      <c r="G38" s="419"/>
      <c r="H38" s="250"/>
      <c r="I38" s="251"/>
      <c r="L38" s="116"/>
    </row>
    <row r="39" spans="1:12" ht="15">
      <c r="A39" s="34" t="s">
        <v>16</v>
      </c>
      <c r="B39" s="413" t="s">
        <v>534</v>
      </c>
      <c r="C39" s="423"/>
      <c r="D39" s="349" t="s">
        <v>236</v>
      </c>
      <c r="E39" s="349">
        <v>1</v>
      </c>
      <c r="F39" s="566">
        <v>2960</v>
      </c>
      <c r="G39" s="567"/>
      <c r="H39" s="252"/>
      <c r="I39" s="253"/>
      <c r="L39" s="120"/>
    </row>
    <row r="40" spans="1:12" ht="15">
      <c r="A40" s="34" t="s">
        <v>18</v>
      </c>
      <c r="B40" s="413" t="s">
        <v>535</v>
      </c>
      <c r="C40" s="423"/>
      <c r="D40" s="349"/>
      <c r="E40" s="349"/>
      <c r="F40" s="566">
        <v>10030</v>
      </c>
      <c r="G40" s="567"/>
      <c r="H40" s="40"/>
      <c r="I40" s="40"/>
      <c r="L40" s="120"/>
    </row>
    <row r="41" spans="1:12" ht="15">
      <c r="A41" s="34" t="s">
        <v>20</v>
      </c>
      <c r="B41" s="413" t="s">
        <v>170</v>
      </c>
      <c r="C41" s="423"/>
      <c r="D41" s="349" t="s">
        <v>247</v>
      </c>
      <c r="E41" s="349">
        <v>0.55</v>
      </c>
      <c r="F41" s="566">
        <v>61168.66</v>
      </c>
      <c r="G41" s="567"/>
      <c r="H41" s="40"/>
      <c r="I41" s="40"/>
      <c r="L41" s="120"/>
    </row>
    <row r="42" spans="1:11" s="67" customFormat="1" ht="15">
      <c r="A42" s="34" t="s">
        <v>22</v>
      </c>
      <c r="B42" s="440" t="s">
        <v>191</v>
      </c>
      <c r="C42" s="441"/>
      <c r="D42" s="124"/>
      <c r="E42" s="124"/>
      <c r="F42" s="429">
        <f>E24*1%</f>
        <v>350.5273</v>
      </c>
      <c r="G42" s="429"/>
      <c r="H42" s="59"/>
      <c r="I42" s="59"/>
      <c r="J42" s="59"/>
      <c r="K42" s="59"/>
    </row>
    <row r="43" s="59" customFormat="1" ht="9" customHeight="1"/>
    <row r="44" spans="1:11" s="59" customFormat="1" ht="15">
      <c r="A44" s="67" t="s">
        <v>55</v>
      </c>
      <c r="B44" s="67"/>
      <c r="C44" s="126" t="s">
        <v>49</v>
      </c>
      <c r="D44" s="67"/>
      <c r="E44" s="67"/>
      <c r="F44" s="67" t="s">
        <v>90</v>
      </c>
      <c r="G44" s="67"/>
      <c r="H44" s="67"/>
      <c r="I44" s="67"/>
      <c r="J44" s="67"/>
      <c r="K44" s="67"/>
    </row>
    <row r="45" spans="1:7" s="59" customFormat="1" ht="15">
      <c r="A45" s="67"/>
      <c r="B45" s="67"/>
      <c r="C45" s="126"/>
      <c r="D45" s="67"/>
      <c r="E45" s="67"/>
      <c r="F45" s="127" t="s">
        <v>438</v>
      </c>
      <c r="G45" s="67"/>
    </row>
    <row r="46" spans="1:10" s="59" customFormat="1" ht="15">
      <c r="A46" s="67" t="s">
        <v>50</v>
      </c>
      <c r="B46" s="67"/>
      <c r="C46" s="126"/>
      <c r="D46" s="67"/>
      <c r="E46" s="67"/>
      <c r="F46" s="67"/>
      <c r="G46" s="67"/>
      <c r="H46" s="157"/>
      <c r="I46" s="157"/>
      <c r="J46" s="157"/>
    </row>
    <row r="47" spans="1:11" ht="15">
      <c r="A47" s="67"/>
      <c r="B47" s="67"/>
      <c r="C47" s="128" t="s">
        <v>51</v>
      </c>
      <c r="D47" s="67"/>
      <c r="E47" s="129"/>
      <c r="F47" s="129"/>
      <c r="G47" s="129"/>
      <c r="H47" s="59"/>
      <c r="I47" s="59"/>
      <c r="J47" s="59"/>
      <c r="K47" s="59"/>
    </row>
    <row r="48" spans="1:11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</sheetData>
  <sheetProtection/>
  <mergeCells count="22">
    <mergeCell ref="B42:C42"/>
    <mergeCell ref="F42:G42"/>
    <mergeCell ref="B38:C38"/>
    <mergeCell ref="F38:G38"/>
    <mergeCell ref="B39:C39"/>
    <mergeCell ref="F39:G39"/>
    <mergeCell ref="B40:C40"/>
    <mergeCell ref="B41:C41"/>
    <mergeCell ref="F40:G40"/>
    <mergeCell ref="F41:G41"/>
    <mergeCell ref="A11:K11"/>
    <mergeCell ref="A32:C32"/>
    <mergeCell ref="B37:C37"/>
    <mergeCell ref="F37:G37"/>
    <mergeCell ref="A35:G35"/>
    <mergeCell ref="A31:F3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32">
      <selection activeCell="F46" sqref="F46:G46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227</v>
      </c>
      <c r="H7" s="60" t="s">
        <v>289</v>
      </c>
    </row>
    <row r="8" spans="1:10" s="59" customFormat="1" ht="12.75">
      <c r="A8" s="59" t="s">
        <v>3</v>
      </c>
      <c r="F8" s="305" t="s">
        <v>288</v>
      </c>
      <c r="H8" s="61">
        <v>68.4</v>
      </c>
      <c r="I8" s="61">
        <v>3582.4</v>
      </c>
      <c r="J8" s="61">
        <f>H8+I8</f>
        <v>3650.8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309">
        <f>'[1]Калинина 15'!$G$34</f>
        <v>153807.3697</v>
      </c>
      <c r="H13" s="62"/>
      <c r="I13" s="301">
        <v>26824.08</v>
      </c>
    </row>
    <row r="14" s="59" customFormat="1" ht="15" customHeight="1">
      <c r="A14" s="59" t="s">
        <v>391</v>
      </c>
    </row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10.18</v>
      </c>
      <c r="D16" s="76">
        <v>452431.6</v>
      </c>
      <c r="E16" s="76">
        <v>379327.49</v>
      </c>
      <c r="F16" s="76">
        <f>D16</f>
        <v>452431.6</v>
      </c>
      <c r="G16" s="77">
        <f>D16-E16</f>
        <v>73104.10999999999</v>
      </c>
      <c r="H16" s="78">
        <f>C16</f>
        <v>10.18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153773.41218074656</v>
      </c>
      <c r="E17" s="83">
        <f>E16*I17</f>
        <v>128926.63216110019</v>
      </c>
      <c r="F17" s="83">
        <f>D17</f>
        <v>153773.41218074656</v>
      </c>
      <c r="G17" s="84">
        <f>D17-E17</f>
        <v>24846.780019646365</v>
      </c>
      <c r="H17" s="78">
        <f>C17</f>
        <v>3.46</v>
      </c>
      <c r="I17" s="59">
        <f>H17/H16</f>
        <v>0.33988212180746563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75108.97878192534</v>
      </c>
      <c r="E18" s="83">
        <f>E16*I18</f>
        <v>62972.83478388998</v>
      </c>
      <c r="F18" s="83">
        <f>D18</f>
        <v>75108.97878192534</v>
      </c>
      <c r="G18" s="84">
        <f>D18-E18</f>
        <v>12136.14399803536</v>
      </c>
      <c r="H18" s="78">
        <f>C18</f>
        <v>1.69</v>
      </c>
      <c r="I18" s="59">
        <f>H18/H16</f>
        <v>0.16601178781925344</v>
      </c>
    </row>
    <row r="19" spans="1:9" s="59" customFormat="1" ht="15">
      <c r="A19" s="81" t="s">
        <v>20</v>
      </c>
      <c r="B19" s="34" t="s">
        <v>21</v>
      </c>
      <c r="C19" s="82">
        <v>1.99</v>
      </c>
      <c r="D19" s="83">
        <f>D16*I19</f>
        <v>88441.93359528486</v>
      </c>
      <c r="E19" s="83">
        <f>E16*I19</f>
        <v>74151.44450884087</v>
      </c>
      <c r="F19" s="83">
        <f>D19</f>
        <v>88441.93359528486</v>
      </c>
      <c r="G19" s="84">
        <f>D19-E19</f>
        <v>14290.489086443995</v>
      </c>
      <c r="H19" s="78">
        <f>C19</f>
        <v>1.99</v>
      </c>
      <c r="I19" s="59">
        <f>H19/H16</f>
        <v>0.19548133595284872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135107.27544204323</v>
      </c>
      <c r="E20" s="83">
        <f>E16*I20</f>
        <v>113276.57854616897</v>
      </c>
      <c r="F20" s="83">
        <f>D20</f>
        <v>135107.27544204323</v>
      </c>
      <c r="G20" s="84">
        <f>D20-E20</f>
        <v>21830.696895874265</v>
      </c>
      <c r="H20" s="78">
        <f>C20</f>
        <v>3.04</v>
      </c>
      <c r="I20" s="59">
        <f>H20/H16</f>
        <v>0.29862475442043224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371</v>
      </c>
      <c r="C22" s="46"/>
      <c r="D22" s="87"/>
      <c r="E22" s="87">
        <v>2287.65</v>
      </c>
      <c r="F22" s="87">
        <v>0</v>
      </c>
      <c r="G22" s="77">
        <f t="shared" si="0"/>
        <v>-2287.65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4</v>
      </c>
      <c r="D24" s="87">
        <v>149386.62</v>
      </c>
      <c r="E24" s="87">
        <v>128347.98</v>
      </c>
      <c r="F24" s="87">
        <f>F38-F22</f>
        <v>-29336.5202</v>
      </c>
      <c r="G24" s="77">
        <f t="shared" si="0"/>
        <v>21038.64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 t="s">
        <v>334</v>
      </c>
      <c r="D25" s="77">
        <v>0</v>
      </c>
      <c r="E25" s="77">
        <v>0</v>
      </c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954928.88</v>
      </c>
      <c r="E26" s="77">
        <f>SUM(E27:E30)</f>
        <v>832489.26</v>
      </c>
      <c r="F26" s="77">
        <f>SUM(F27:F30)</f>
        <v>954928.88</v>
      </c>
      <c r="G26" s="77">
        <f t="shared" si="0"/>
        <v>122439.62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426</v>
      </c>
      <c r="D27" s="84">
        <v>132305.75</v>
      </c>
      <c r="E27" s="84">
        <v>111425.99</v>
      </c>
      <c r="F27" s="84">
        <f>D27</f>
        <v>132305.75</v>
      </c>
      <c r="G27" s="84">
        <f t="shared" si="0"/>
        <v>20879.759999999995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804902.06</v>
      </c>
      <c r="E28" s="84">
        <v>706853.74</v>
      </c>
      <c r="F28" s="84">
        <f>D28</f>
        <v>804902.06</v>
      </c>
      <c r="G28" s="84">
        <f t="shared" si="0"/>
        <v>98048.32000000007</v>
      </c>
    </row>
    <row r="29" spans="1:7" ht="15">
      <c r="A29" s="34" t="s">
        <v>42</v>
      </c>
      <c r="B29" s="51" t="s">
        <v>421</v>
      </c>
      <c r="C29" s="290" t="s">
        <v>524</v>
      </c>
      <c r="D29" s="84">
        <v>17721.07</v>
      </c>
      <c r="E29" s="84">
        <v>14209.53</v>
      </c>
      <c r="F29" s="84">
        <f>D29</f>
        <v>17721.07</v>
      </c>
      <c r="G29" s="84">
        <f t="shared" si="0"/>
        <v>3511.539999999999</v>
      </c>
    </row>
    <row r="30" spans="1:7" s="276" customFormat="1" ht="15">
      <c r="A30" s="271" t="s">
        <v>41</v>
      </c>
      <c r="B30" s="271" t="s">
        <v>43</v>
      </c>
      <c r="C30" s="144">
        <v>0</v>
      </c>
      <c r="D30" s="213">
        <v>0</v>
      </c>
      <c r="E30" s="213">
        <v>0</v>
      </c>
      <c r="F30" s="213">
        <f>D30</f>
        <v>0</v>
      </c>
      <c r="G30" s="84">
        <f t="shared" si="0"/>
        <v>0</v>
      </c>
    </row>
    <row r="31" spans="1:9" s="102" customFormat="1" ht="20.2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309">
        <v>943509.44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310">
        <f>G13+E24-F24+E22-F22</f>
        <v>313779.5199000001</v>
      </c>
      <c r="H34" s="62"/>
      <c r="I34" s="62"/>
    </row>
    <row r="35" spans="1:11" ht="31.5" customHeight="1">
      <c r="A35" s="546" t="s">
        <v>182</v>
      </c>
      <c r="B35" s="547"/>
      <c r="C35" s="547"/>
      <c r="D35" s="547"/>
      <c r="E35" s="547"/>
      <c r="F35" s="547"/>
      <c r="G35" s="54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SUM(F39:G46)</f>
        <v>-29336.5202</v>
      </c>
      <c r="G38" s="419"/>
      <c r="H38" s="250"/>
      <c r="I38" s="251"/>
      <c r="L38" s="116"/>
    </row>
    <row r="39" spans="1:12" ht="15">
      <c r="A39" s="34" t="s">
        <v>16</v>
      </c>
      <c r="B39" s="413" t="s">
        <v>380</v>
      </c>
      <c r="C39" s="423"/>
      <c r="D39" s="349" t="s">
        <v>166</v>
      </c>
      <c r="E39" s="349"/>
      <c r="F39" s="566">
        <v>7576</v>
      </c>
      <c r="G39" s="567"/>
      <c r="H39" s="252"/>
      <c r="I39" s="253"/>
      <c r="L39" s="120"/>
    </row>
    <row r="40" spans="1:12" ht="15">
      <c r="A40" s="34" t="s">
        <v>18</v>
      </c>
      <c r="B40" s="413" t="s">
        <v>541</v>
      </c>
      <c r="C40" s="423"/>
      <c r="D40" s="349" t="s">
        <v>166</v>
      </c>
      <c r="E40" s="350">
        <v>1</v>
      </c>
      <c r="F40" s="451">
        <v>4844</v>
      </c>
      <c r="G40" s="452"/>
      <c r="H40" s="40"/>
      <c r="I40" s="40"/>
      <c r="L40" s="120"/>
    </row>
    <row r="41" spans="1:12" ht="15">
      <c r="A41" s="34" t="s">
        <v>20</v>
      </c>
      <c r="B41" s="413" t="s">
        <v>543</v>
      </c>
      <c r="C41" s="423"/>
      <c r="D41" s="349" t="s">
        <v>542</v>
      </c>
      <c r="E41" s="350">
        <v>1</v>
      </c>
      <c r="F41" s="451">
        <v>10000</v>
      </c>
      <c r="G41" s="452"/>
      <c r="H41" s="40"/>
      <c r="I41" s="40"/>
      <c r="L41" s="120"/>
    </row>
    <row r="42" spans="1:12" ht="15">
      <c r="A42" s="34" t="s">
        <v>22</v>
      </c>
      <c r="B42" s="413" t="s">
        <v>544</v>
      </c>
      <c r="C42" s="423"/>
      <c r="D42" s="349" t="s">
        <v>166</v>
      </c>
      <c r="E42" s="350">
        <v>1</v>
      </c>
      <c r="F42" s="451">
        <v>26500</v>
      </c>
      <c r="G42" s="452"/>
      <c r="H42" s="40"/>
      <c r="I42" s="40"/>
      <c r="L42" s="120"/>
    </row>
    <row r="43" spans="1:12" ht="15">
      <c r="A43" s="34" t="s">
        <v>24</v>
      </c>
      <c r="B43" s="411" t="s">
        <v>783</v>
      </c>
      <c r="C43" s="426"/>
      <c r="D43" s="349"/>
      <c r="E43" s="350"/>
      <c r="F43" s="446">
        <v>1200</v>
      </c>
      <c r="G43" s="447"/>
      <c r="H43" s="40"/>
      <c r="I43" s="40"/>
      <c r="L43" s="120"/>
    </row>
    <row r="44" spans="1:12" ht="17.25" customHeight="1">
      <c r="A44" s="34" t="s">
        <v>103</v>
      </c>
      <c r="B44" s="411" t="s">
        <v>713</v>
      </c>
      <c r="C44" s="426"/>
      <c r="D44" s="119"/>
      <c r="E44" s="119"/>
      <c r="F44" s="446">
        <v>8000</v>
      </c>
      <c r="G44" s="447"/>
      <c r="H44" s="40"/>
      <c r="I44" s="40"/>
      <c r="L44" s="120"/>
    </row>
    <row r="45" spans="1:12" ht="15">
      <c r="A45" s="34" t="s">
        <v>104</v>
      </c>
      <c r="B45" s="413" t="s">
        <v>392</v>
      </c>
      <c r="C45" s="423"/>
      <c r="D45" s="119"/>
      <c r="E45" s="201"/>
      <c r="F45" s="451">
        <f>-80032-8708</f>
        <v>-88740</v>
      </c>
      <c r="G45" s="452"/>
      <c r="H45" s="40"/>
      <c r="I45" s="40"/>
      <c r="L45" s="120"/>
    </row>
    <row r="46" spans="1:11" s="67" customFormat="1" ht="15">
      <c r="A46" s="34" t="s">
        <v>117</v>
      </c>
      <c r="B46" s="440" t="s">
        <v>191</v>
      </c>
      <c r="C46" s="441"/>
      <c r="D46" s="124"/>
      <c r="E46" s="124"/>
      <c r="F46" s="429">
        <f>E24*1%</f>
        <v>1283.4798</v>
      </c>
      <c r="G46" s="429"/>
      <c r="H46" s="59"/>
      <c r="I46" s="59"/>
      <c r="J46" s="59"/>
      <c r="K46" s="59"/>
    </row>
    <row r="47" s="59" customFormat="1" ht="9" customHeight="1"/>
    <row r="48" spans="1:11" s="59" customFormat="1" ht="15">
      <c r="A48" s="67" t="s">
        <v>55</v>
      </c>
      <c r="B48" s="67"/>
      <c r="C48" s="126" t="s">
        <v>49</v>
      </c>
      <c r="D48" s="67"/>
      <c r="E48" s="67"/>
      <c r="F48" s="67" t="s">
        <v>90</v>
      </c>
      <c r="G48" s="67"/>
      <c r="H48" s="67"/>
      <c r="I48" s="67"/>
      <c r="J48" s="67"/>
      <c r="K48" s="67"/>
    </row>
    <row r="49" spans="1:7" s="59" customFormat="1" ht="15">
      <c r="A49" s="67"/>
      <c r="B49" s="67"/>
      <c r="C49" s="126"/>
      <c r="D49" s="67"/>
      <c r="E49" s="67"/>
      <c r="F49" s="127" t="s">
        <v>438</v>
      </c>
      <c r="G49" s="67"/>
    </row>
    <row r="50" spans="1:10" s="59" customFormat="1" ht="15">
      <c r="A50" s="67" t="s">
        <v>50</v>
      </c>
      <c r="B50" s="67"/>
      <c r="C50" s="126"/>
      <c r="D50" s="67"/>
      <c r="E50" s="67"/>
      <c r="F50" s="67"/>
      <c r="G50" s="67"/>
      <c r="H50" s="157"/>
      <c r="I50" s="157"/>
      <c r="J50" s="157"/>
    </row>
    <row r="51" spans="1:11" ht="15">
      <c r="A51" s="67"/>
      <c r="B51" s="67"/>
      <c r="C51" s="128" t="s">
        <v>51</v>
      </c>
      <c r="D51" s="67"/>
      <c r="E51" s="129"/>
      <c r="F51" s="129"/>
      <c r="G51" s="129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sheetProtection/>
  <mergeCells count="30">
    <mergeCell ref="B42:C42"/>
    <mergeCell ref="B44:C44"/>
    <mergeCell ref="B45:C45"/>
    <mergeCell ref="F42:G42"/>
    <mergeCell ref="F44:G44"/>
    <mergeCell ref="F45:G45"/>
    <mergeCell ref="F43:G43"/>
    <mergeCell ref="B43:C43"/>
    <mergeCell ref="B46:C46"/>
    <mergeCell ref="F46:G46"/>
    <mergeCell ref="B38:C38"/>
    <mergeCell ref="F38:G38"/>
    <mergeCell ref="B39:C39"/>
    <mergeCell ref="F39:G39"/>
    <mergeCell ref="B40:C40"/>
    <mergeCell ref="B41:C41"/>
    <mergeCell ref="F40:G40"/>
    <mergeCell ref="F41:G41"/>
    <mergeCell ref="A11:K11"/>
    <mergeCell ref="A32:C32"/>
    <mergeCell ref="B37:C37"/>
    <mergeCell ref="F37:G37"/>
    <mergeCell ref="A35:G35"/>
    <mergeCell ref="A31:F31"/>
    <mergeCell ref="A1:K1"/>
    <mergeCell ref="A2:K2"/>
    <mergeCell ref="A3:K3"/>
    <mergeCell ref="A5:K5"/>
    <mergeCell ref="A9:K9"/>
    <mergeCell ref="A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1"/>
  <sheetViews>
    <sheetView zoomScalePageLayoutView="0" workbookViewId="0" topLeftCell="A34">
      <selection activeCell="F45" sqref="F45:G45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368</v>
      </c>
      <c r="H7" s="60"/>
    </row>
    <row r="8" spans="1:10" s="59" customFormat="1" ht="12.75">
      <c r="A8" s="59" t="s">
        <v>3</v>
      </c>
      <c r="F8" s="305" t="s">
        <v>526</v>
      </c>
      <c r="H8" s="308">
        <f>I8+J8</f>
        <v>4611.8</v>
      </c>
      <c r="I8" s="61">
        <v>0</v>
      </c>
      <c r="J8" s="61">
        <v>4611.8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'[1]Грабцевское шоссе,77'!$G$34</f>
        <v>101699.4428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547018.19</v>
      </c>
      <c r="E16" s="76">
        <v>544373.72</v>
      </c>
      <c r="F16" s="76">
        <f aca="true" t="shared" si="0" ref="F16:F22">D16</f>
        <v>547018.19</v>
      </c>
      <c r="G16" s="77">
        <f>D16-E16</f>
        <v>2644.469999999972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191567.0989271255</v>
      </c>
      <c r="E17" s="83">
        <f>E16*I17</f>
        <v>190640.99910931176</v>
      </c>
      <c r="F17" s="83">
        <f t="shared" si="0"/>
        <v>191567.0989271255</v>
      </c>
      <c r="G17" s="84">
        <f>D17-E17</f>
        <v>926.0998178137525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93568.90092105263</v>
      </c>
      <c r="E18" s="83">
        <f>E16*I18</f>
        <v>93116.55736842105</v>
      </c>
      <c r="F18" s="83">
        <f t="shared" si="0"/>
        <v>93568.90092105263</v>
      </c>
      <c r="G18" s="84">
        <f>D18-E18</f>
        <v>452.3435526315734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93568.90092105263</v>
      </c>
      <c r="E19" s="83">
        <f>E16*I19</f>
        <v>93116.55736842105</v>
      </c>
      <c r="F19" s="83">
        <f t="shared" si="0"/>
        <v>93568.90092105263</v>
      </c>
      <c r="G19" s="84">
        <f>D19-E19</f>
        <v>452.3435526315734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168313.2892307692</v>
      </c>
      <c r="E20" s="83">
        <f>E16*I20</f>
        <v>167499.60615384617</v>
      </c>
      <c r="F20" s="83">
        <f t="shared" si="0"/>
        <v>168313.2892307692</v>
      </c>
      <c r="G20" s="84">
        <f>D20-E20</f>
        <v>813.6830769230437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205</v>
      </c>
      <c r="C22" s="46">
        <v>3.5</v>
      </c>
      <c r="D22" s="87">
        <v>177564.8</v>
      </c>
      <c r="E22" s="87">
        <v>176646.33</v>
      </c>
      <c r="F22" s="87">
        <f t="shared" si="0"/>
        <v>177564.8</v>
      </c>
      <c r="G22" s="77">
        <f t="shared" si="1"/>
        <v>918.4700000000012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5</v>
      </c>
      <c r="D24" s="87">
        <v>276723</v>
      </c>
      <c r="E24" s="87">
        <v>275492.63</v>
      </c>
      <c r="F24" s="87">
        <f>F38</f>
        <v>80936.1763</v>
      </c>
      <c r="G24" s="77">
        <f t="shared" si="1"/>
        <v>1230.3699999999953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61545.15</v>
      </c>
      <c r="E26" s="77">
        <f>SUM(E27:E30)</f>
        <v>66943.18000000001</v>
      </c>
      <c r="F26" s="77">
        <f>SUM(F27:F30)</f>
        <v>61545.15</v>
      </c>
      <c r="G26" s="77">
        <f t="shared" si="1"/>
        <v>-5398.030000000006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510</v>
      </c>
      <c r="D27" s="84">
        <v>52366.18</v>
      </c>
      <c r="E27" s="84">
        <v>51520.98</v>
      </c>
      <c r="F27" s="84">
        <f>D27</f>
        <v>52366.18</v>
      </c>
      <c r="G27" s="84">
        <f t="shared" si="1"/>
        <v>845.1999999999971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9178.97</v>
      </c>
      <c r="E28" s="84">
        <v>15422.2</v>
      </c>
      <c r="F28" s="84">
        <f>D28</f>
        <v>9178.97</v>
      </c>
      <c r="G28" s="84">
        <f t="shared" si="1"/>
        <v>-6243.230000000001</v>
      </c>
    </row>
    <row r="29" spans="1:7" ht="15">
      <c r="A29" s="34" t="s">
        <v>42</v>
      </c>
      <c r="B29" s="51" t="s">
        <v>40</v>
      </c>
      <c r="C29" s="290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s="276" customFormat="1" ht="15">
      <c r="A30" s="271" t="s">
        <v>41</v>
      </c>
      <c r="B30" s="271" t="s">
        <v>43</v>
      </c>
      <c r="C30" s="144">
        <v>0</v>
      </c>
      <c r="D30" s="213">
        <v>0</v>
      </c>
      <c r="E30" s="213">
        <v>0</v>
      </c>
      <c r="F30" s="213">
        <f>D30</f>
        <v>0</v>
      </c>
      <c r="G30" s="84">
        <f t="shared" si="1"/>
        <v>0</v>
      </c>
    </row>
    <row r="31" spans="1:9" s="102" customFormat="1" ht="19.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71">
        <v>183458.41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310">
        <f>G13+E24-F24</f>
        <v>296255.89650000003</v>
      </c>
      <c r="H34" s="62"/>
      <c r="I34" s="62"/>
    </row>
    <row r="35" spans="1:11" ht="31.5" customHeight="1">
      <c r="A35" s="546" t="s">
        <v>182</v>
      </c>
      <c r="B35" s="547"/>
      <c r="C35" s="547"/>
      <c r="D35" s="547"/>
      <c r="E35" s="547"/>
      <c r="F35" s="547"/>
      <c r="G35" s="54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SUM(F39:G45)</f>
        <v>80936.1763</v>
      </c>
      <c r="G38" s="419"/>
      <c r="H38" s="250"/>
      <c r="I38" s="251"/>
      <c r="L38" s="116"/>
    </row>
    <row r="39" spans="1:12" ht="15">
      <c r="A39" s="34" t="s">
        <v>16</v>
      </c>
      <c r="B39" s="413" t="s">
        <v>536</v>
      </c>
      <c r="C39" s="423"/>
      <c r="D39" s="349" t="s">
        <v>236</v>
      </c>
      <c r="E39" s="349">
        <v>2</v>
      </c>
      <c r="F39" s="431">
        <v>898</v>
      </c>
      <c r="G39" s="431"/>
      <c r="H39" s="252"/>
      <c r="I39" s="253"/>
      <c r="L39" s="120"/>
    </row>
    <row r="40" spans="1:12" ht="15">
      <c r="A40" s="34" t="s">
        <v>18</v>
      </c>
      <c r="B40" s="413" t="s">
        <v>537</v>
      </c>
      <c r="C40" s="423"/>
      <c r="D40" s="349" t="s">
        <v>538</v>
      </c>
      <c r="E40" s="349">
        <v>25.53</v>
      </c>
      <c r="F40" s="431">
        <v>11350.64</v>
      </c>
      <c r="G40" s="431"/>
      <c r="H40" s="40"/>
      <c r="I40" s="40"/>
      <c r="L40" s="120"/>
    </row>
    <row r="41" spans="1:12" ht="15">
      <c r="A41" s="34" t="s">
        <v>20</v>
      </c>
      <c r="B41" s="413" t="s">
        <v>539</v>
      </c>
      <c r="C41" s="423"/>
      <c r="D41" s="349" t="s">
        <v>236</v>
      </c>
      <c r="E41" s="349">
        <v>15</v>
      </c>
      <c r="F41" s="431">
        <v>4221.75</v>
      </c>
      <c r="G41" s="431"/>
      <c r="H41" s="40"/>
      <c r="I41" s="40"/>
      <c r="L41" s="120"/>
    </row>
    <row r="42" spans="1:12" ht="15">
      <c r="A42" s="34" t="s">
        <v>22</v>
      </c>
      <c r="B42" s="413" t="s">
        <v>540</v>
      </c>
      <c r="C42" s="423"/>
      <c r="D42" s="349" t="s">
        <v>236</v>
      </c>
      <c r="E42" s="349">
        <v>4</v>
      </c>
      <c r="F42" s="431">
        <v>38200</v>
      </c>
      <c r="G42" s="431"/>
      <c r="H42" s="40"/>
      <c r="I42" s="40"/>
      <c r="L42" s="120"/>
    </row>
    <row r="43" spans="1:12" ht="15">
      <c r="A43" s="34" t="s">
        <v>24</v>
      </c>
      <c r="B43" s="382" t="s">
        <v>784</v>
      </c>
      <c r="C43" s="384"/>
      <c r="D43" s="349"/>
      <c r="E43" s="349"/>
      <c r="F43" s="429">
        <v>9300</v>
      </c>
      <c r="G43" s="429"/>
      <c r="H43" s="40"/>
      <c r="I43" s="40"/>
      <c r="L43" s="120"/>
    </row>
    <row r="44" spans="1:12" ht="15">
      <c r="A44" s="34" t="s">
        <v>103</v>
      </c>
      <c r="B44" s="382" t="s">
        <v>162</v>
      </c>
      <c r="C44" s="384"/>
      <c r="D44" s="349"/>
      <c r="E44" s="119" t="s">
        <v>785</v>
      </c>
      <c r="F44" s="429">
        <v>14210.86</v>
      </c>
      <c r="G44" s="429"/>
      <c r="H44" s="40"/>
      <c r="I44" s="40"/>
      <c r="L44" s="120"/>
    </row>
    <row r="45" spans="1:11" s="67" customFormat="1" ht="15">
      <c r="A45" s="34" t="s">
        <v>104</v>
      </c>
      <c r="B45" s="440" t="s">
        <v>191</v>
      </c>
      <c r="C45" s="441"/>
      <c r="D45" s="124"/>
      <c r="E45" s="124"/>
      <c r="F45" s="429">
        <f>E24*1%</f>
        <v>2754.9263</v>
      </c>
      <c r="G45" s="429"/>
      <c r="H45" s="59"/>
      <c r="I45" s="59"/>
      <c r="J45" s="59"/>
      <c r="K45" s="59"/>
    </row>
    <row r="46" s="59" customFormat="1" ht="9" customHeight="1"/>
    <row r="47" spans="1:11" s="59" customFormat="1" ht="15">
      <c r="A47" s="67" t="s">
        <v>55</v>
      </c>
      <c r="B47" s="67"/>
      <c r="C47" s="126" t="s">
        <v>49</v>
      </c>
      <c r="D47" s="67"/>
      <c r="E47" s="67"/>
      <c r="F47" s="67" t="s">
        <v>90</v>
      </c>
      <c r="G47" s="67"/>
      <c r="H47" s="67"/>
      <c r="I47" s="67"/>
      <c r="J47" s="67"/>
      <c r="K47" s="67"/>
    </row>
    <row r="48" spans="1:7" s="59" customFormat="1" ht="15">
      <c r="A48" s="67"/>
      <c r="B48" s="67"/>
      <c r="C48" s="126"/>
      <c r="D48" s="67"/>
      <c r="E48" s="67"/>
      <c r="F48" s="127" t="s">
        <v>438</v>
      </c>
      <c r="G48" s="67"/>
    </row>
    <row r="49" spans="1:10" s="59" customFormat="1" ht="15">
      <c r="A49" s="67" t="s">
        <v>50</v>
      </c>
      <c r="B49" s="67"/>
      <c r="C49" s="126"/>
      <c r="D49" s="67"/>
      <c r="E49" s="67"/>
      <c r="F49" s="67"/>
      <c r="G49" s="67"/>
      <c r="H49" s="157"/>
      <c r="I49" s="157"/>
      <c r="J49" s="157"/>
    </row>
    <row r="50" spans="1:11" ht="15">
      <c r="A50" s="67"/>
      <c r="B50" s="67"/>
      <c r="C50" s="128" t="s">
        <v>51</v>
      </c>
      <c r="D50" s="67"/>
      <c r="E50" s="129"/>
      <c r="F50" s="129"/>
      <c r="G50" s="129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</sheetData>
  <sheetProtection/>
  <mergeCells count="28">
    <mergeCell ref="B43:C43"/>
    <mergeCell ref="B44:C44"/>
    <mergeCell ref="F43:G43"/>
    <mergeCell ref="F44:G44"/>
    <mergeCell ref="B40:C40"/>
    <mergeCell ref="B42:C42"/>
    <mergeCell ref="B41:C41"/>
    <mergeCell ref="F41:G41"/>
    <mergeCell ref="F40:G40"/>
    <mergeCell ref="F42:G42"/>
    <mergeCell ref="A32:C32"/>
    <mergeCell ref="A35:G35"/>
    <mergeCell ref="B37:C37"/>
    <mergeCell ref="F37:G37"/>
    <mergeCell ref="B45:C45"/>
    <mergeCell ref="F45:G45"/>
    <mergeCell ref="B38:C38"/>
    <mergeCell ref="F38:G38"/>
    <mergeCell ref="B39:C39"/>
    <mergeCell ref="F39:G39"/>
    <mergeCell ref="A11:K11"/>
    <mergeCell ref="A31:F3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7030A0"/>
  </sheetPr>
  <dimension ref="A1:N46"/>
  <sheetViews>
    <sheetView zoomScalePageLayoutView="0" workbookViewId="0" topLeftCell="A34">
      <selection activeCell="F40" sqref="F40:G40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367</v>
      </c>
      <c r="H7" s="60"/>
    </row>
    <row r="8" spans="1:10" s="59" customFormat="1" ht="12.75">
      <c r="A8" s="59" t="s">
        <v>3</v>
      </c>
      <c r="F8" s="305" t="s">
        <v>527</v>
      </c>
      <c r="H8" s="308">
        <f>I8+J8</f>
        <v>1636.5</v>
      </c>
      <c r="I8" s="61">
        <v>0</v>
      </c>
      <c r="J8" s="61">
        <v>1636.5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'[1]Грабцевское шоссе,78'!$G$34</f>
        <v>6680.5893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194173.92</v>
      </c>
      <c r="E16" s="76">
        <v>188666.42</v>
      </c>
      <c r="F16" s="76">
        <f aca="true" t="shared" si="0" ref="F16:F22">D16</f>
        <v>194173.92</v>
      </c>
      <c r="G16" s="77">
        <f>D16-E16</f>
        <v>5507.5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68000.17846153847</v>
      </c>
      <c r="E17" s="83">
        <f>E16*I17</f>
        <v>66071.43858299596</v>
      </c>
      <c r="F17" s="83">
        <f t="shared" si="0"/>
        <v>68000.17846153847</v>
      </c>
      <c r="G17" s="84">
        <f>D17-E17</f>
        <v>1928.739878542503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33213.96000000001</v>
      </c>
      <c r="E18" s="83">
        <f>E16*I18</f>
        <v>32271.88763157895</v>
      </c>
      <c r="F18" s="83">
        <f t="shared" si="0"/>
        <v>33213.96000000001</v>
      </c>
      <c r="G18" s="84">
        <f>D18-E18</f>
        <v>942.072368421057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33213.96000000001</v>
      </c>
      <c r="E19" s="83">
        <f>E16*I19</f>
        <v>32271.88763157895</v>
      </c>
      <c r="F19" s="83">
        <f t="shared" si="0"/>
        <v>33213.96000000001</v>
      </c>
      <c r="G19" s="84">
        <f>D19-E19</f>
        <v>942.072368421057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59745.82153846155</v>
      </c>
      <c r="E20" s="83">
        <f>E16*I20</f>
        <v>58051.206153846164</v>
      </c>
      <c r="F20" s="83">
        <f t="shared" si="0"/>
        <v>59745.82153846155</v>
      </c>
      <c r="G20" s="84">
        <f>D20-E20</f>
        <v>1694.615384615383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205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93051.38</v>
      </c>
      <c r="E24" s="87">
        <v>91012.24</v>
      </c>
      <c r="F24" s="87">
        <f>F38</f>
        <v>910.1224000000001</v>
      </c>
      <c r="G24" s="77">
        <f t="shared" si="1"/>
        <v>2039.1399999999994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262101.15000000002</v>
      </c>
      <c r="E26" s="77">
        <f>SUM(E27:E30)</f>
        <v>252641.98</v>
      </c>
      <c r="F26" s="77">
        <f>SUM(F27:F30)</f>
        <v>262101.15000000002</v>
      </c>
      <c r="G26" s="77">
        <f t="shared" si="1"/>
        <v>9459.170000000013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17726.58</v>
      </c>
      <c r="E27" s="84">
        <v>16759.1</v>
      </c>
      <c r="F27" s="84">
        <f>D27</f>
        <v>17726.58</v>
      </c>
      <c r="G27" s="84">
        <f t="shared" si="1"/>
        <v>967.4800000000032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244374.57</v>
      </c>
      <c r="E28" s="84">
        <v>235882.88</v>
      </c>
      <c r="F28" s="84">
        <f>D28</f>
        <v>244374.57</v>
      </c>
      <c r="G28" s="84">
        <f t="shared" si="1"/>
        <v>8491.690000000002</v>
      </c>
    </row>
    <row r="29" spans="1:7" ht="15">
      <c r="A29" s="34" t="s">
        <v>42</v>
      </c>
      <c r="B29" s="51" t="s">
        <v>421</v>
      </c>
      <c r="C29" s="290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s="276" customFormat="1" ht="15">
      <c r="A30" s="271" t="s">
        <v>41</v>
      </c>
      <c r="B30" s="271" t="s">
        <v>43</v>
      </c>
      <c r="C30" s="144">
        <v>0</v>
      </c>
      <c r="D30" s="213">
        <v>0</v>
      </c>
      <c r="E30" s="213">
        <v>0</v>
      </c>
      <c r="F30" s="213">
        <f>D30</f>
        <v>0</v>
      </c>
      <c r="G30" s="84">
        <f t="shared" si="1"/>
        <v>0</v>
      </c>
    </row>
    <row r="31" spans="1:9" s="102" customFormat="1" ht="19.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71">
        <v>75187.23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310">
        <f>G13+E24-F24</f>
        <v>96782.70690000002</v>
      </c>
      <c r="H34" s="62"/>
      <c r="I34" s="62"/>
    </row>
    <row r="35" spans="1:11" ht="31.5" customHeight="1">
      <c r="A35" s="546" t="s">
        <v>182</v>
      </c>
      <c r="B35" s="547"/>
      <c r="C35" s="547"/>
      <c r="D35" s="547"/>
      <c r="E35" s="547"/>
      <c r="F35" s="547"/>
      <c r="G35" s="54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SUM(F39:G40)</f>
        <v>910.1224000000001</v>
      </c>
      <c r="G38" s="419"/>
      <c r="H38" s="250"/>
      <c r="I38" s="251"/>
      <c r="L38" s="116"/>
    </row>
    <row r="39" spans="1:12" ht="15">
      <c r="A39" s="34" t="s">
        <v>16</v>
      </c>
      <c r="B39" s="382"/>
      <c r="C39" s="384"/>
      <c r="D39" s="119"/>
      <c r="E39" s="119"/>
      <c r="F39" s="449"/>
      <c r="G39" s="450"/>
      <c r="H39" s="252"/>
      <c r="I39" s="253"/>
      <c r="L39" s="120"/>
    </row>
    <row r="40" spans="1:11" s="67" customFormat="1" ht="15">
      <c r="A40" s="34" t="s">
        <v>18</v>
      </c>
      <c r="B40" s="440" t="s">
        <v>191</v>
      </c>
      <c r="C40" s="441"/>
      <c r="D40" s="124"/>
      <c r="E40" s="124"/>
      <c r="F40" s="429">
        <f>E24*1%</f>
        <v>910.1224000000001</v>
      </c>
      <c r="G40" s="429"/>
      <c r="H40" s="59"/>
      <c r="I40" s="59"/>
      <c r="J40" s="59"/>
      <c r="K40" s="59"/>
    </row>
    <row r="41" s="59" customFormat="1" ht="9" customHeight="1"/>
    <row r="42" spans="1:11" s="59" customFormat="1" ht="15">
      <c r="A42" s="67" t="s">
        <v>55</v>
      </c>
      <c r="B42" s="67"/>
      <c r="C42" s="126" t="s">
        <v>49</v>
      </c>
      <c r="D42" s="67"/>
      <c r="E42" s="67"/>
      <c r="F42" s="67" t="s">
        <v>90</v>
      </c>
      <c r="G42" s="67"/>
      <c r="H42" s="67"/>
      <c r="I42" s="67"/>
      <c r="J42" s="67"/>
      <c r="K42" s="67"/>
    </row>
    <row r="43" spans="1:7" s="59" customFormat="1" ht="15">
      <c r="A43" s="67"/>
      <c r="B43" s="67"/>
      <c r="C43" s="126"/>
      <c r="D43" s="67"/>
      <c r="E43" s="67"/>
      <c r="F43" s="127" t="s">
        <v>438</v>
      </c>
      <c r="G43" s="67"/>
    </row>
    <row r="44" spans="1:10" s="59" customFormat="1" ht="15">
      <c r="A44" s="67" t="s">
        <v>50</v>
      </c>
      <c r="B44" s="67"/>
      <c r="C44" s="126"/>
      <c r="D44" s="67"/>
      <c r="E44" s="67"/>
      <c r="F44" s="67"/>
      <c r="G44" s="67"/>
      <c r="H44" s="157"/>
      <c r="I44" s="157"/>
      <c r="J44" s="157"/>
    </row>
    <row r="45" spans="1:11" ht="15">
      <c r="A45" s="67"/>
      <c r="B45" s="67"/>
      <c r="C45" s="128" t="s">
        <v>51</v>
      </c>
      <c r="D45" s="67"/>
      <c r="E45" s="129"/>
      <c r="F45" s="129"/>
      <c r="G45" s="129"/>
      <c r="H45" s="59"/>
      <c r="I45" s="59"/>
      <c r="J45" s="59"/>
      <c r="K45" s="59"/>
    </row>
    <row r="46" spans="1:11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</sheetData>
  <sheetProtection/>
  <mergeCells count="18">
    <mergeCell ref="B40:C40"/>
    <mergeCell ref="F40:G40"/>
    <mergeCell ref="B38:C38"/>
    <mergeCell ref="F38:G38"/>
    <mergeCell ref="B39:C39"/>
    <mergeCell ref="F39:G39"/>
    <mergeCell ref="A11:K11"/>
    <mergeCell ref="A31:F31"/>
    <mergeCell ref="A32:C32"/>
    <mergeCell ref="A35:G35"/>
    <mergeCell ref="B37:C37"/>
    <mergeCell ref="F37:G37"/>
    <mergeCell ref="A1:K1"/>
    <mergeCell ref="A2:K2"/>
    <mergeCell ref="A3:K3"/>
    <mergeCell ref="A5:K5"/>
    <mergeCell ref="A9:K9"/>
    <mergeCell ref="A10:K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7030A0"/>
  </sheetPr>
  <dimension ref="A1:N47"/>
  <sheetViews>
    <sheetView zoomScalePageLayoutView="0" workbookViewId="0" topLeftCell="A29">
      <selection activeCell="F42" sqref="F42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528</v>
      </c>
      <c r="H7" s="60"/>
    </row>
    <row r="8" spans="1:10" s="59" customFormat="1" ht="12.75">
      <c r="A8" s="59" t="s">
        <v>3</v>
      </c>
      <c r="F8" s="305" t="s">
        <v>529</v>
      </c>
      <c r="H8" s="308">
        <f>I8+J8</f>
        <v>3542.3</v>
      </c>
      <c r="I8" s="61">
        <v>0</v>
      </c>
      <c r="J8" s="61">
        <v>3542.3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v>0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C17+C18+C19+C20+C21</f>
        <v>13.379999999999999</v>
      </c>
      <c r="D16" s="76">
        <v>147931.92</v>
      </c>
      <c r="E16" s="76">
        <v>125577.76</v>
      </c>
      <c r="F16" s="76">
        <f aca="true" t="shared" si="0" ref="F16:F21">D16</f>
        <v>147931.92</v>
      </c>
      <c r="G16" s="77">
        <f aca="true" t="shared" si="1" ref="G16:G21">D16-E16</f>
        <v>22354.160000000018</v>
      </c>
      <c r="H16" s="78">
        <f aca="true" t="shared" si="2" ref="H16:H21">C16</f>
        <v>13.379999999999999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38254.44269058296</v>
      </c>
      <c r="E17" s="83">
        <f>E16*I17</f>
        <v>32473.770523168907</v>
      </c>
      <c r="F17" s="83">
        <f t="shared" si="0"/>
        <v>38254.44269058296</v>
      </c>
      <c r="G17" s="84">
        <f t="shared" si="1"/>
        <v>5780.672167414054</v>
      </c>
      <c r="H17" s="78">
        <f t="shared" si="2"/>
        <v>3.46</v>
      </c>
      <c r="I17" s="59">
        <f>H17/H16</f>
        <v>0.2585949177877429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18684.9734529148</v>
      </c>
      <c r="E18" s="83">
        <f>E16*I18</f>
        <v>15861.465949177878</v>
      </c>
      <c r="F18" s="83">
        <f t="shared" si="0"/>
        <v>18684.9734529148</v>
      </c>
      <c r="G18" s="84">
        <f t="shared" si="1"/>
        <v>2823.5075037369224</v>
      </c>
      <c r="H18" s="78">
        <f t="shared" si="2"/>
        <v>1.69</v>
      </c>
      <c r="I18" s="59">
        <f>H18/H16</f>
        <v>0.12630792227204785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18684.9734529148</v>
      </c>
      <c r="E19" s="83">
        <f>E16*I19</f>
        <v>15861.465949177878</v>
      </c>
      <c r="F19" s="83">
        <f t="shared" si="0"/>
        <v>18684.9734529148</v>
      </c>
      <c r="G19" s="84">
        <f t="shared" si="1"/>
        <v>2823.5075037369224</v>
      </c>
      <c r="H19" s="78">
        <f t="shared" si="2"/>
        <v>1.69</v>
      </c>
      <c r="I19" s="59">
        <f>H19/H16</f>
        <v>0.12630792227204785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33610.83982062781</v>
      </c>
      <c r="E20" s="83">
        <f>E16*I20</f>
        <v>28531.867742899853</v>
      </c>
      <c r="F20" s="83">
        <f t="shared" si="0"/>
        <v>33610.83982062781</v>
      </c>
      <c r="G20" s="84">
        <f t="shared" si="1"/>
        <v>5078.9720777279545</v>
      </c>
      <c r="H20" s="78">
        <f t="shared" si="2"/>
        <v>3.04</v>
      </c>
      <c r="I20" s="59">
        <f>H20/H16</f>
        <v>0.22720478325859494</v>
      </c>
    </row>
    <row r="21" spans="1:9" s="59" customFormat="1" ht="15">
      <c r="A21" s="81" t="s">
        <v>24</v>
      </c>
      <c r="B21" s="34" t="s">
        <v>144</v>
      </c>
      <c r="C21" s="82">
        <v>3.5</v>
      </c>
      <c r="D21" s="83">
        <f>D17*I21</f>
        <v>38696.69058295964</v>
      </c>
      <c r="E21" s="83">
        <f>E17*I21</f>
        <v>32849.18983557549</v>
      </c>
      <c r="F21" s="83">
        <f t="shared" si="0"/>
        <v>38696.69058295964</v>
      </c>
      <c r="G21" s="84">
        <f t="shared" si="1"/>
        <v>5847.500747384154</v>
      </c>
      <c r="H21" s="78">
        <f t="shared" si="2"/>
        <v>3.5</v>
      </c>
      <c r="I21" s="59">
        <f>H21/H17</f>
        <v>1.0115606936416186</v>
      </c>
    </row>
    <row r="22" spans="1:11" s="89" customFormat="1" ht="14.25">
      <c r="A22" s="86" t="s">
        <v>25</v>
      </c>
      <c r="B22" s="86" t="s">
        <v>221</v>
      </c>
      <c r="C22" s="46">
        <v>0</v>
      </c>
      <c r="D22" s="87">
        <v>0</v>
      </c>
      <c r="E22" s="87">
        <v>0</v>
      </c>
      <c r="F22" s="87">
        <v>0</v>
      </c>
      <c r="G22" s="77">
        <f aca="true" t="shared" si="3" ref="G22:G31">D22-E22</f>
        <v>0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205</v>
      </c>
      <c r="C23" s="46">
        <v>0</v>
      </c>
      <c r="D23" s="87">
        <v>0</v>
      </c>
      <c r="E23" s="87">
        <v>0</v>
      </c>
      <c r="F23" s="87">
        <f>D23</f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26</v>
      </c>
      <c r="C24" s="46">
        <v>0</v>
      </c>
      <c r="D24" s="87">
        <v>0</v>
      </c>
      <c r="E24" s="87">
        <v>0</v>
      </c>
      <c r="F24" s="87"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1.86</v>
      </c>
      <c r="D25" s="87">
        <v>19766.04</v>
      </c>
      <c r="E25" s="87">
        <v>17456.97</v>
      </c>
      <c r="F25" s="87">
        <f>F39</f>
        <v>174.5697</v>
      </c>
      <c r="G25" s="77">
        <f t="shared" si="3"/>
        <v>2309.0699999999997</v>
      </c>
      <c r="H25" s="88"/>
      <c r="I25" s="88"/>
      <c r="J25" s="88"/>
      <c r="K25" s="88"/>
    </row>
    <row r="26" spans="1:11" ht="14.25">
      <c r="A26" s="41" t="s">
        <v>33</v>
      </c>
      <c r="B26" s="41" t="s">
        <v>163</v>
      </c>
      <c r="C26" s="97">
        <v>12.54</v>
      </c>
      <c r="D26" s="77">
        <v>0</v>
      </c>
      <c r="E26" s="77">
        <v>0</v>
      </c>
      <c r="F26" s="87">
        <f>D26</f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18607.25</v>
      </c>
      <c r="E27" s="77">
        <f>SUM(E28:E31)</f>
        <v>17439.73</v>
      </c>
      <c r="F27" s="77">
        <f>SUM(F28:F31)</f>
        <v>18607.25</v>
      </c>
      <c r="G27" s="77">
        <f t="shared" si="3"/>
        <v>1167.5200000000004</v>
      </c>
      <c r="H27" s="98"/>
      <c r="I27" s="98"/>
      <c r="J27" s="98"/>
      <c r="K27" s="98"/>
    </row>
    <row r="28" spans="1:7" ht="15">
      <c r="A28" s="34" t="s">
        <v>37</v>
      </c>
      <c r="B28" s="34" t="s">
        <v>167</v>
      </c>
      <c r="C28" s="289" t="s">
        <v>406</v>
      </c>
      <c r="D28" s="84">
        <v>17613.82</v>
      </c>
      <c r="E28" s="84">
        <v>15959.45</v>
      </c>
      <c r="F28" s="84">
        <f>D28</f>
        <v>17613.82</v>
      </c>
      <c r="G28" s="84">
        <f t="shared" si="3"/>
        <v>1654.369999999999</v>
      </c>
    </row>
    <row r="29" spans="1:7" ht="15">
      <c r="A29" s="34" t="s">
        <v>39</v>
      </c>
      <c r="B29" s="34" t="s">
        <v>138</v>
      </c>
      <c r="C29" s="289" t="s">
        <v>409</v>
      </c>
      <c r="D29" s="84">
        <v>993.43</v>
      </c>
      <c r="E29" s="84">
        <v>1480.28</v>
      </c>
      <c r="F29" s="84">
        <f>D29</f>
        <v>993.43</v>
      </c>
      <c r="G29" s="84">
        <f t="shared" si="3"/>
        <v>-486.85</v>
      </c>
    </row>
    <row r="30" spans="1:7" ht="15">
      <c r="A30" s="34" t="s">
        <v>42</v>
      </c>
      <c r="B30" s="51" t="s">
        <v>421</v>
      </c>
      <c r="C30" s="290">
        <v>0</v>
      </c>
      <c r="D30" s="84">
        <v>0</v>
      </c>
      <c r="E30" s="84">
        <v>0</v>
      </c>
      <c r="F30" s="84">
        <v>0</v>
      </c>
      <c r="G30" s="84">
        <f t="shared" si="3"/>
        <v>0</v>
      </c>
    </row>
    <row r="31" spans="1:7" s="276" customFormat="1" ht="15">
      <c r="A31" s="271" t="s">
        <v>41</v>
      </c>
      <c r="B31" s="271" t="s">
        <v>43</v>
      </c>
      <c r="C31" s="144">
        <v>0</v>
      </c>
      <c r="D31" s="213">
        <v>0</v>
      </c>
      <c r="E31" s="213">
        <v>0</v>
      </c>
      <c r="F31" s="213">
        <f>D31</f>
        <v>0</v>
      </c>
      <c r="G31" s="84">
        <f t="shared" si="3"/>
        <v>0</v>
      </c>
    </row>
    <row r="32" spans="1:9" s="102" customFormat="1" ht="19.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71">
        <v>161719.71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413</v>
      </c>
      <c r="B35" s="64"/>
      <c r="C35" s="64"/>
      <c r="D35" s="69"/>
      <c r="E35" s="70"/>
      <c r="F35" s="70"/>
      <c r="G35" s="310">
        <f>G13+E25-F25</f>
        <v>17282.4003</v>
      </c>
      <c r="H35" s="62"/>
      <c r="I35" s="62"/>
    </row>
    <row r="36" spans="1:11" ht="31.5" customHeight="1">
      <c r="A36" s="546" t="s">
        <v>182</v>
      </c>
      <c r="B36" s="547"/>
      <c r="C36" s="547"/>
      <c r="D36" s="547"/>
      <c r="E36" s="547"/>
      <c r="F36" s="547"/>
      <c r="G36" s="547"/>
      <c r="H36" s="58"/>
      <c r="I36" s="58"/>
      <c r="J36" s="58"/>
      <c r="K36" s="58"/>
    </row>
    <row r="38" spans="1:12" s="74" customFormat="1" ht="37.5" customHeight="1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L38" s="108"/>
    </row>
    <row r="39" spans="1:12" s="115" customFormat="1" ht="15" customHeight="1">
      <c r="A39" s="109" t="s">
        <v>47</v>
      </c>
      <c r="B39" s="403" t="s">
        <v>111</v>
      </c>
      <c r="C39" s="425"/>
      <c r="D39" s="111"/>
      <c r="E39" s="111"/>
      <c r="F39" s="430">
        <f>SUM(F40:G41)</f>
        <v>174.5697</v>
      </c>
      <c r="G39" s="419"/>
      <c r="H39" s="250"/>
      <c r="I39" s="251"/>
      <c r="L39" s="116"/>
    </row>
    <row r="40" spans="1:12" ht="15">
      <c r="A40" s="34" t="s">
        <v>16</v>
      </c>
      <c r="B40" s="382"/>
      <c r="C40" s="384"/>
      <c r="D40" s="119"/>
      <c r="E40" s="119"/>
      <c r="F40" s="449"/>
      <c r="G40" s="450"/>
      <c r="H40" s="252"/>
      <c r="I40" s="253"/>
      <c r="L40" s="120"/>
    </row>
    <row r="41" spans="1:11" s="67" customFormat="1" ht="15">
      <c r="A41" s="34" t="s">
        <v>18</v>
      </c>
      <c r="B41" s="440" t="s">
        <v>191</v>
      </c>
      <c r="C41" s="441"/>
      <c r="D41" s="124"/>
      <c r="E41" s="124"/>
      <c r="F41" s="429">
        <f>E25*1%</f>
        <v>174.5697</v>
      </c>
      <c r="G41" s="429"/>
      <c r="H41" s="59"/>
      <c r="I41" s="59"/>
      <c r="J41" s="59"/>
      <c r="K41" s="59"/>
    </row>
    <row r="42" s="59" customFormat="1" ht="9" customHeight="1"/>
    <row r="43" spans="1:11" s="59" customFormat="1" ht="15">
      <c r="A43" s="67" t="s">
        <v>55</v>
      </c>
      <c r="B43" s="67"/>
      <c r="C43" s="126" t="s">
        <v>49</v>
      </c>
      <c r="D43" s="67"/>
      <c r="E43" s="67"/>
      <c r="F43" s="67" t="s">
        <v>90</v>
      </c>
      <c r="G43" s="67"/>
      <c r="H43" s="67"/>
      <c r="I43" s="67"/>
      <c r="J43" s="67"/>
      <c r="K43" s="67"/>
    </row>
    <row r="44" spans="1:7" s="59" customFormat="1" ht="15">
      <c r="A44" s="67"/>
      <c r="B44" s="67"/>
      <c r="C44" s="126"/>
      <c r="D44" s="67"/>
      <c r="E44" s="67"/>
      <c r="F44" s="127" t="s">
        <v>438</v>
      </c>
      <c r="G44" s="67"/>
    </row>
    <row r="45" spans="1:10" s="59" customFormat="1" ht="15">
      <c r="A45" s="67" t="s">
        <v>50</v>
      </c>
      <c r="B45" s="67"/>
      <c r="C45" s="126"/>
      <c r="D45" s="67"/>
      <c r="E45" s="67"/>
      <c r="F45" s="67"/>
      <c r="G45" s="67"/>
      <c r="H45" s="157"/>
      <c r="I45" s="157"/>
      <c r="J45" s="157"/>
    </row>
    <row r="46" spans="1:11" ht="15">
      <c r="A46" s="67"/>
      <c r="B46" s="67"/>
      <c r="C46" s="128" t="s">
        <v>51</v>
      </c>
      <c r="D46" s="67"/>
      <c r="E46" s="129"/>
      <c r="F46" s="129"/>
      <c r="G46" s="129"/>
      <c r="H46" s="59"/>
      <c r="I46" s="59"/>
      <c r="J46" s="59"/>
      <c r="K46" s="59"/>
    </row>
    <row r="47" spans="1:11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32:F32"/>
    <mergeCell ref="A33:C33"/>
    <mergeCell ref="A36:G36"/>
    <mergeCell ref="B38:C38"/>
    <mergeCell ref="F38:G38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7030A0"/>
  </sheetPr>
  <dimension ref="A1:N47"/>
  <sheetViews>
    <sheetView tabSelected="1" zoomScalePageLayoutView="0" workbookViewId="0" topLeftCell="A31">
      <selection activeCell="F41" sqref="F41:G41"/>
    </sheetView>
  </sheetViews>
  <sheetFormatPr defaultColWidth="9.140625" defaultRowHeight="15" outlineLevelCol="2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2"/>
    <col min="10" max="10" width="10.140625" style="57" hidden="1" customWidth="1" outlineLevel="2"/>
    <col min="11" max="11" width="10.421875" style="57" hidden="1" customWidth="1" outlineLevel="1" collapsed="1"/>
    <col min="12" max="12" width="9.140625" style="57" hidden="1" customWidth="1" outlineLevel="1"/>
    <col min="13" max="13" width="10.00390625" style="57" hidden="1" customWidth="1" outlineLevel="1"/>
    <col min="14" max="14" width="15.8515625" style="57" customWidth="1" collapsed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530</v>
      </c>
      <c r="H7" s="60"/>
    </row>
    <row r="8" spans="1:10" s="59" customFormat="1" ht="12.75">
      <c r="A8" s="59" t="s">
        <v>3</v>
      </c>
      <c r="F8" s="305" t="s">
        <v>531</v>
      </c>
      <c r="H8" s="308">
        <f>I8+J8</f>
        <v>4789.6</v>
      </c>
      <c r="I8" s="61">
        <f>381.9+109.6+229.1+127+92.2</f>
        <v>939.8000000000001</v>
      </c>
      <c r="J8" s="61">
        <v>3849.8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v>0</v>
      </c>
      <c r="H13" s="62"/>
      <c r="I13" s="62"/>
    </row>
    <row r="14" s="59" customFormat="1" ht="6.75" customHeight="1"/>
    <row r="15" spans="1:12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  <c r="K15" s="74">
        <f>139.6+151.3+142.1+107.9+116.2+102.2+48.8+114.3+145.9+77.1+137.8+81.2+117.2+140.6+81.6+82.5+125.1+139.6+78.4+88.1+122.7+150.1</f>
        <v>2490.2999999999993</v>
      </c>
      <c r="L15" s="74">
        <f>4789.6-K15</f>
        <v>2299.300000000001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10.370000000000001</v>
      </c>
      <c r="D16" s="76">
        <v>397192</v>
      </c>
      <c r="E16" s="76">
        <v>390267.12</v>
      </c>
      <c r="F16" s="76">
        <f aca="true" t="shared" si="0" ref="F16:F22">D16</f>
        <v>397192</v>
      </c>
      <c r="G16" s="77">
        <f>D16-E16</f>
        <v>6924.880000000005</v>
      </c>
      <c r="H16" s="346">
        <f>C16</f>
        <v>10.370000000000001</v>
      </c>
      <c r="I16" s="79"/>
      <c r="J16" s="79"/>
      <c r="K16" s="79">
        <v>10.39</v>
      </c>
      <c r="L16" s="79">
        <v>10.34</v>
      </c>
      <c r="M16" s="346">
        <f>((K16*K15)+(L16*L15))/4789.6</f>
        <v>10.365996951728746</v>
      </c>
      <c r="N16" s="80"/>
    </row>
    <row r="17" spans="1:13" s="59" customFormat="1" ht="15">
      <c r="A17" s="81" t="s">
        <v>16</v>
      </c>
      <c r="B17" s="34" t="s">
        <v>17</v>
      </c>
      <c r="C17" s="82">
        <v>3.46</v>
      </c>
      <c r="D17" s="83">
        <f>D16*I17</f>
        <v>132525.00675024107</v>
      </c>
      <c r="E17" s="83">
        <f>E16*I17</f>
        <v>130214.48748312437</v>
      </c>
      <c r="F17" s="83">
        <f t="shared" si="0"/>
        <v>132525.00675024107</v>
      </c>
      <c r="G17" s="84">
        <f>D17-E17</f>
        <v>2310.5192671167024</v>
      </c>
      <c r="H17" s="78">
        <f>C17</f>
        <v>3.46</v>
      </c>
      <c r="I17" s="59">
        <f>H17/H16</f>
        <v>0.3336547733847637</v>
      </c>
      <c r="K17" s="59">
        <v>3.46</v>
      </c>
      <c r="L17" s="59">
        <v>3.46</v>
      </c>
      <c r="M17" s="80">
        <f>(K15+L15)*L17/4789.6</f>
        <v>3.4599999999999995</v>
      </c>
    </row>
    <row r="18" spans="1:13" s="59" customFormat="1" ht="15">
      <c r="A18" s="81" t="s">
        <v>18</v>
      </c>
      <c r="B18" s="34" t="s">
        <v>19</v>
      </c>
      <c r="C18" s="82">
        <v>1.69</v>
      </c>
      <c r="D18" s="83">
        <f>D16*I18</f>
        <v>64730.42237222757</v>
      </c>
      <c r="E18" s="83">
        <f>E16*I18</f>
        <v>63601.87394406942</v>
      </c>
      <c r="F18" s="83">
        <f t="shared" si="0"/>
        <v>64730.42237222757</v>
      </c>
      <c r="G18" s="84">
        <f>D18-E18</f>
        <v>1128.548428158152</v>
      </c>
      <c r="H18" s="78">
        <f>C18</f>
        <v>1.69</v>
      </c>
      <c r="I18" s="59">
        <f>H18/H16</f>
        <v>0.16297010607521695</v>
      </c>
      <c r="K18" s="59">
        <v>1.69</v>
      </c>
      <c r="L18" s="59">
        <v>1.69</v>
      </c>
      <c r="M18" s="80">
        <f>(K15+L15)*L18/4789.6</f>
        <v>1.69</v>
      </c>
    </row>
    <row r="19" spans="1:13" s="59" customFormat="1" ht="15">
      <c r="A19" s="81" t="s">
        <v>20</v>
      </c>
      <c r="B19" s="34" t="s">
        <v>21</v>
      </c>
      <c r="C19" s="82">
        <v>2.18</v>
      </c>
      <c r="D19" s="83">
        <f>D16*I19</f>
        <v>83498.41465766635</v>
      </c>
      <c r="E19" s="83">
        <f>E16*I19</f>
        <v>82042.65396335584</v>
      </c>
      <c r="F19" s="83">
        <f t="shared" si="0"/>
        <v>83498.41465766635</v>
      </c>
      <c r="G19" s="84">
        <f>D19-E19</f>
        <v>1455.7606943105056</v>
      </c>
      <c r="H19" s="78">
        <v>2.18</v>
      </c>
      <c r="I19" s="59">
        <f>H19/H16</f>
        <v>0.210221793635487</v>
      </c>
      <c r="K19" s="59">
        <v>2.2</v>
      </c>
      <c r="L19" s="59">
        <v>2.15</v>
      </c>
      <c r="M19" s="80">
        <f>((K19*K15)+(L19*L15))/4789.6</f>
        <v>2.1759969517287456</v>
      </c>
    </row>
    <row r="20" spans="1:13" s="59" customFormat="1" ht="15">
      <c r="A20" s="81" t="s">
        <v>22</v>
      </c>
      <c r="B20" s="34" t="s">
        <v>23</v>
      </c>
      <c r="C20" s="82">
        <v>3.04</v>
      </c>
      <c r="D20" s="83">
        <f>D16*I20</f>
        <v>116438.15621986498</v>
      </c>
      <c r="E20" s="83">
        <f>E16*I20</f>
        <v>114408.10460945033</v>
      </c>
      <c r="F20" s="83">
        <f t="shared" si="0"/>
        <v>116438.15621986498</v>
      </c>
      <c r="G20" s="84">
        <f>D20-E20</f>
        <v>2030.0516104146518</v>
      </c>
      <c r="H20" s="78">
        <v>3.04</v>
      </c>
      <c r="I20" s="59">
        <f>H20/H16</f>
        <v>0.2931533269045323</v>
      </c>
      <c r="K20" s="59">
        <v>3.04</v>
      </c>
      <c r="L20" s="59">
        <v>3.04</v>
      </c>
      <c r="M20" s="80">
        <f>((K20*K15)+(L20*L15))/4789.6</f>
        <v>3.04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25.5">
      <c r="A22" s="86" t="s">
        <v>27</v>
      </c>
      <c r="B22" s="86" t="s">
        <v>371</v>
      </c>
      <c r="C22" s="46" t="s">
        <v>370</v>
      </c>
      <c r="D22" s="87">
        <v>48960</v>
      </c>
      <c r="E22" s="87">
        <v>47127.5</v>
      </c>
      <c r="F22" s="87">
        <f t="shared" si="0"/>
        <v>48960</v>
      </c>
      <c r="G22" s="77">
        <f t="shared" si="1"/>
        <v>1832.5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78932.64</v>
      </c>
      <c r="E24" s="87">
        <v>77556.36</v>
      </c>
      <c r="F24" s="87">
        <f>F38</f>
        <v>100921.46359999999</v>
      </c>
      <c r="G24" s="77">
        <f t="shared" si="1"/>
        <v>1376.2799999999988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127615.49</v>
      </c>
      <c r="E26" s="77">
        <f>SUM(E27:E30)</f>
        <v>131244.78</v>
      </c>
      <c r="F26" s="77">
        <f>SUM(F27:F30)</f>
        <v>127615.49</v>
      </c>
      <c r="G26" s="77">
        <f t="shared" si="1"/>
        <v>-3629.2899999999936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25520.16</v>
      </c>
      <c r="E27" s="84">
        <v>25077.87</v>
      </c>
      <c r="F27" s="84">
        <f>D27</f>
        <v>25520.16</v>
      </c>
      <c r="G27" s="84">
        <f t="shared" si="1"/>
        <v>442.2900000000009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81293.47</v>
      </c>
      <c r="E28" s="84">
        <v>85727.93</v>
      </c>
      <c r="F28" s="84">
        <f>D28</f>
        <v>81293.47</v>
      </c>
      <c r="G28" s="84">
        <f t="shared" si="1"/>
        <v>-4434.459999999992</v>
      </c>
    </row>
    <row r="29" spans="1:7" ht="15">
      <c r="A29" s="34" t="s">
        <v>42</v>
      </c>
      <c r="B29" s="51" t="s">
        <v>421</v>
      </c>
      <c r="C29" s="290" t="s">
        <v>524</v>
      </c>
      <c r="D29" s="84">
        <v>20801.86</v>
      </c>
      <c r="E29" s="84">
        <v>20438.98</v>
      </c>
      <c r="F29" s="84">
        <f>D29</f>
        <v>20801.86</v>
      </c>
      <c r="G29" s="84">
        <f t="shared" si="1"/>
        <v>362.880000000001</v>
      </c>
    </row>
    <row r="30" spans="1:7" s="276" customFormat="1" ht="15">
      <c r="A30" s="271" t="s">
        <v>41</v>
      </c>
      <c r="B30" s="271" t="s">
        <v>43</v>
      </c>
      <c r="C30" s="144">
        <v>0</v>
      </c>
      <c r="D30" s="213">
        <v>0</v>
      </c>
      <c r="E30" s="213">
        <v>0</v>
      </c>
      <c r="F30" s="213">
        <f>D30</f>
        <v>0</v>
      </c>
      <c r="G30" s="84">
        <f t="shared" si="1"/>
        <v>0</v>
      </c>
    </row>
    <row r="31" spans="1:9" s="102" customFormat="1" ht="19.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284">
        <v>150377.85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-23365.103599999988</v>
      </c>
      <c r="H34" s="62"/>
      <c r="I34" s="62"/>
    </row>
    <row r="35" spans="1:11" ht="31.5" customHeight="1">
      <c r="A35" s="546" t="s">
        <v>182</v>
      </c>
      <c r="B35" s="547"/>
      <c r="C35" s="547"/>
      <c r="D35" s="547"/>
      <c r="E35" s="547"/>
      <c r="F35" s="547"/>
      <c r="G35" s="54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SUM(F39:G41)</f>
        <v>100921.46359999999</v>
      </c>
      <c r="G38" s="419"/>
      <c r="H38" s="250"/>
      <c r="I38" s="251"/>
      <c r="L38" s="116"/>
    </row>
    <row r="39" spans="1:12" ht="15">
      <c r="A39" s="34" t="s">
        <v>16</v>
      </c>
      <c r="B39" s="413" t="s">
        <v>388</v>
      </c>
      <c r="C39" s="423"/>
      <c r="D39" s="349" t="s">
        <v>229</v>
      </c>
      <c r="E39" s="349">
        <v>0.24</v>
      </c>
      <c r="F39" s="566">
        <v>90145.9</v>
      </c>
      <c r="G39" s="567"/>
      <c r="H39" s="252"/>
      <c r="I39" s="253"/>
      <c r="L39" s="120"/>
    </row>
    <row r="40" spans="1:12" ht="15">
      <c r="A40" s="34" t="s">
        <v>18</v>
      </c>
      <c r="B40" s="382" t="s">
        <v>750</v>
      </c>
      <c r="C40" s="384"/>
      <c r="D40" s="119"/>
      <c r="E40" s="119"/>
      <c r="F40" s="449">
        <v>10000</v>
      </c>
      <c r="G40" s="450"/>
      <c r="H40" s="40"/>
      <c r="I40" s="40"/>
      <c r="L40" s="120"/>
    </row>
    <row r="41" spans="1:11" s="67" customFormat="1" ht="15">
      <c r="A41" s="34" t="s">
        <v>20</v>
      </c>
      <c r="B41" s="440" t="s">
        <v>191</v>
      </c>
      <c r="C41" s="441"/>
      <c r="D41" s="124"/>
      <c r="E41" s="124"/>
      <c r="F41" s="429">
        <f>E24*1%</f>
        <v>775.5636000000001</v>
      </c>
      <c r="G41" s="429"/>
      <c r="H41" s="59"/>
      <c r="I41" s="59"/>
      <c r="J41" s="59"/>
      <c r="K41" s="59"/>
    </row>
    <row r="42" s="59" customFormat="1" ht="9" customHeight="1"/>
    <row r="43" spans="1:11" s="59" customFormat="1" ht="15">
      <c r="A43" s="67" t="s">
        <v>55</v>
      </c>
      <c r="B43" s="67"/>
      <c r="C43" s="126" t="s">
        <v>49</v>
      </c>
      <c r="D43" s="67"/>
      <c r="E43" s="67"/>
      <c r="F43" s="67" t="s">
        <v>90</v>
      </c>
      <c r="G43" s="67"/>
      <c r="H43" s="67"/>
      <c r="I43" s="67"/>
      <c r="J43" s="67"/>
      <c r="K43" s="67"/>
    </row>
    <row r="44" spans="1:7" s="59" customFormat="1" ht="15">
      <c r="A44" s="67"/>
      <c r="B44" s="67"/>
      <c r="C44" s="126"/>
      <c r="D44" s="67"/>
      <c r="E44" s="67"/>
      <c r="F44" s="127" t="s">
        <v>438</v>
      </c>
      <c r="G44" s="67"/>
    </row>
    <row r="45" spans="1:10" s="59" customFormat="1" ht="15">
      <c r="A45" s="67" t="s">
        <v>50</v>
      </c>
      <c r="B45" s="67"/>
      <c r="C45" s="126"/>
      <c r="D45" s="67"/>
      <c r="E45" s="67"/>
      <c r="F45" s="67"/>
      <c r="G45" s="67"/>
      <c r="H45" s="157"/>
      <c r="I45" s="157"/>
      <c r="J45" s="157"/>
    </row>
    <row r="46" spans="1:11" ht="15">
      <c r="A46" s="67"/>
      <c r="B46" s="67"/>
      <c r="C46" s="128" t="s">
        <v>51</v>
      </c>
      <c r="D46" s="67"/>
      <c r="E46" s="129"/>
      <c r="F46" s="129"/>
      <c r="G46" s="129"/>
      <c r="H46" s="59"/>
      <c r="I46" s="59"/>
      <c r="J46" s="59"/>
      <c r="K46" s="59"/>
    </row>
    <row r="47" spans="1:11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</row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31:F31"/>
    <mergeCell ref="A32:C32"/>
    <mergeCell ref="A35:G35"/>
    <mergeCell ref="B37:C37"/>
    <mergeCell ref="F37:G37"/>
    <mergeCell ref="B41:C41"/>
    <mergeCell ref="F41:G41"/>
    <mergeCell ref="B38:C38"/>
    <mergeCell ref="F38:G38"/>
    <mergeCell ref="B39:C39"/>
    <mergeCell ref="F39:G39"/>
    <mergeCell ref="B40:C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37">
      <selection activeCell="F44" sqref="F44:G44"/>
    </sheetView>
  </sheetViews>
  <sheetFormatPr defaultColWidth="9.140625" defaultRowHeight="15" outlineLevelCol="1"/>
  <cols>
    <col min="1" max="1" width="4.7109375" style="35" customWidth="1"/>
    <col min="2" max="2" width="49.00390625" style="35" customWidth="1"/>
    <col min="3" max="3" width="14.7109375" style="35" customWidth="1"/>
    <col min="4" max="4" width="12.57421875" style="35" customWidth="1"/>
    <col min="5" max="5" width="12.7109375" style="35" customWidth="1"/>
    <col min="6" max="6" width="12.281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6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4.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6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7.5" customHeight="1"/>
    <row r="7" spans="1:5" s="67" customFormat="1" ht="16.5" customHeight="1">
      <c r="A7" s="67" t="s">
        <v>2</v>
      </c>
      <c r="E7" s="127" t="s">
        <v>63</v>
      </c>
    </row>
    <row r="8" spans="1:5" s="67" customFormat="1" ht="15">
      <c r="A8" s="67" t="s">
        <v>3</v>
      </c>
      <c r="E8" s="127" t="s">
        <v>332</v>
      </c>
    </row>
    <row r="9" s="67" customFormat="1" ht="7.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'[1]Социалистическая 9'!$G$36</f>
        <v>27785.29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'[1]Социалистическая 9'!$G$37</f>
        <v>-9618.637099999994</v>
      </c>
      <c r="H15" s="62"/>
      <c r="I15" s="62"/>
    </row>
    <row r="16" s="67" customFormat="1" ht="9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15">
      <c r="A18" s="75" t="s">
        <v>14</v>
      </c>
      <c r="B18" s="41" t="s">
        <v>15</v>
      </c>
      <c r="C18" s="136">
        <f>C19+C20+C21+C22</f>
        <v>9.879999999999999</v>
      </c>
      <c r="D18" s="76">
        <v>192549.84</v>
      </c>
      <c r="E18" s="76">
        <v>195050.21</v>
      </c>
      <c r="F18" s="76">
        <f>D18</f>
        <v>192549.84</v>
      </c>
      <c r="G18" s="77">
        <f>D18-E18</f>
        <v>-2500.3699999999953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67431.42170040487</v>
      </c>
      <c r="E19" s="83">
        <f>E18*I19</f>
        <v>68307.05734817815</v>
      </c>
      <c r="F19" s="83">
        <f>D19</f>
        <v>67431.42170040487</v>
      </c>
      <c r="G19" s="84">
        <f>D19-E19</f>
        <v>-875.635647773277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32936.156842105265</v>
      </c>
      <c r="E20" s="83">
        <f>E18*I20</f>
        <v>33363.851710526316</v>
      </c>
      <c r="F20" s="83">
        <f>D20</f>
        <v>32936.156842105265</v>
      </c>
      <c r="G20" s="84">
        <f>D20-E20</f>
        <v>-427.69486842105107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32936.156842105265</v>
      </c>
      <c r="E21" s="83">
        <f>E18*I21</f>
        <v>33363.851710526316</v>
      </c>
      <c r="F21" s="83">
        <f>D21</f>
        <v>32936.156842105265</v>
      </c>
      <c r="G21" s="84">
        <f>D21-E21</f>
        <v>-427.69486842105107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59246.10461538462</v>
      </c>
      <c r="E22" s="83">
        <f>E18*I22</f>
        <v>60015.449230769234</v>
      </c>
      <c r="F22" s="83">
        <f>D22</f>
        <v>59246.10461538462</v>
      </c>
      <c r="G22" s="84">
        <f>D22-E22</f>
        <v>-769.3446153846162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26</v>
      </c>
      <c r="C23" s="97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1" t="s">
        <v>163</v>
      </c>
      <c r="C25" s="142">
        <v>12.54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1" t="s">
        <v>116</v>
      </c>
      <c r="C26" s="97">
        <v>1.86</v>
      </c>
      <c r="D26" s="77">
        <v>36221.04</v>
      </c>
      <c r="E26" s="77">
        <v>36722.29</v>
      </c>
      <c r="F26" s="76">
        <f>F43</f>
        <v>140846.3729</v>
      </c>
      <c r="G26" s="77">
        <f t="shared" si="1"/>
        <v>-501.25</v>
      </c>
      <c r="M26" s="182"/>
    </row>
    <row r="27" spans="1:7" s="39" customFormat="1" ht="14.25">
      <c r="A27" s="41" t="s">
        <v>33</v>
      </c>
      <c r="B27" s="135" t="s">
        <v>34</v>
      </c>
      <c r="C27" s="46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5" t="s">
        <v>36</v>
      </c>
      <c r="C28" s="97"/>
      <c r="D28" s="77">
        <f>SUM(D29:D32)</f>
        <v>865024.49</v>
      </c>
      <c r="E28" s="77">
        <f>SUM(E29:E32)</f>
        <v>874085.99</v>
      </c>
      <c r="F28" s="76">
        <f t="shared" si="0"/>
        <v>865024.49</v>
      </c>
      <c r="G28" s="77">
        <f t="shared" si="1"/>
        <v>-9061.5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4745.4</v>
      </c>
      <c r="E29" s="84">
        <v>4791.63</v>
      </c>
      <c r="F29" s="83">
        <f>D29</f>
        <v>4745.4</v>
      </c>
      <c r="G29" s="84">
        <f t="shared" si="1"/>
        <v>-46.23000000000047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229488.1</v>
      </c>
      <c r="E30" s="84">
        <v>231255.08</v>
      </c>
      <c r="F30" s="83">
        <f t="shared" si="0"/>
        <v>229488.1</v>
      </c>
      <c r="G30" s="84">
        <f t="shared" si="1"/>
        <v>-1766.9799999999814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630790.99</v>
      </c>
      <c r="E32" s="84">
        <v>638039.28</v>
      </c>
      <c r="F32" s="83">
        <f t="shared" si="0"/>
        <v>630790.99</v>
      </c>
      <c r="G32" s="84">
        <f t="shared" si="1"/>
        <v>-7248.290000000037</v>
      </c>
    </row>
    <row r="33" spans="1:10" s="102" customFormat="1" ht="17.25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246181.36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27785.29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-113742.71999999997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2:5" ht="8.25" customHeight="1">
      <c r="B39" s="155"/>
      <c r="C39" s="155"/>
      <c r="D39" s="155"/>
      <c r="E39" s="155"/>
    </row>
    <row r="40" spans="1:9" ht="24.75" customHeight="1">
      <c r="A40" s="377" t="s">
        <v>44</v>
      </c>
      <c r="B40" s="377"/>
      <c r="C40" s="377"/>
      <c r="D40" s="377"/>
      <c r="E40" s="377"/>
      <c r="F40" s="377"/>
      <c r="G40" s="377"/>
      <c r="H40" s="377"/>
      <c r="I40" s="377"/>
    </row>
    <row r="41" ht="8.25" customHeight="1"/>
    <row r="42" spans="1:7" s="172" customFormat="1" ht="28.5" customHeight="1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19"/>
    </row>
    <row r="43" spans="1:7" s="115" customFormat="1" ht="13.5" customHeight="1">
      <c r="A43" s="109">
        <v>1</v>
      </c>
      <c r="B43" s="403" t="s">
        <v>111</v>
      </c>
      <c r="C43" s="425"/>
      <c r="D43" s="173"/>
      <c r="E43" s="173"/>
      <c r="F43" s="430">
        <f>SUM(F44:G47)</f>
        <v>140846.3729</v>
      </c>
      <c r="G43" s="419"/>
    </row>
    <row r="44" spans="1:7" s="115" customFormat="1" ht="13.5" customHeight="1">
      <c r="A44" s="34" t="s">
        <v>16</v>
      </c>
      <c r="B44" s="440"/>
      <c r="C44" s="441"/>
      <c r="D44" s="191"/>
      <c r="E44" s="191"/>
      <c r="F44" s="445"/>
      <c r="G44" s="445"/>
    </row>
    <row r="45" spans="1:7" s="115" customFormat="1" ht="13.5" customHeight="1">
      <c r="A45" s="34" t="s">
        <v>18</v>
      </c>
      <c r="B45" s="382" t="s">
        <v>697</v>
      </c>
      <c r="C45" s="432"/>
      <c r="D45" s="191"/>
      <c r="E45" s="153"/>
      <c r="F45" s="424">
        <v>60479.15</v>
      </c>
      <c r="G45" s="424"/>
    </row>
    <row r="46" spans="1:7" s="115" customFormat="1" ht="13.5" customHeight="1">
      <c r="A46" s="34" t="s">
        <v>22</v>
      </c>
      <c r="B46" s="117" t="s">
        <v>698</v>
      </c>
      <c r="C46" s="373"/>
      <c r="D46" s="191"/>
      <c r="E46" s="153"/>
      <c r="F46" s="424">
        <v>80000</v>
      </c>
      <c r="G46" s="424"/>
    </row>
    <row r="47" spans="1:7" ht="13.5" customHeight="1">
      <c r="A47" s="34" t="s">
        <v>24</v>
      </c>
      <c r="B47" s="440" t="s">
        <v>191</v>
      </c>
      <c r="C47" s="441"/>
      <c r="D47" s="191"/>
      <c r="E47" s="191"/>
      <c r="F47" s="429">
        <f>E26*1%</f>
        <v>367.22290000000004</v>
      </c>
      <c r="G47" s="429"/>
    </row>
    <row r="48" s="67" customFormat="1" ht="15"/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3.5" customHeight="1">
      <c r="F50" s="127" t="s">
        <v>438</v>
      </c>
    </row>
    <row r="51" s="67" customFormat="1" ht="15">
      <c r="A51" s="67" t="s">
        <v>50</v>
      </c>
    </row>
    <row r="52" spans="3:7" s="67" customFormat="1" ht="11.25" customHeight="1">
      <c r="C52" s="129" t="s">
        <v>51</v>
      </c>
      <c r="E52" s="129"/>
      <c r="F52" s="129"/>
      <c r="G52" s="129"/>
    </row>
    <row r="53" s="67" customFormat="1" ht="15"/>
    <row r="54" s="67" customFormat="1" ht="15"/>
  </sheetData>
  <sheetProtection/>
  <mergeCells count="21">
    <mergeCell ref="B47:C47"/>
    <mergeCell ref="F47:G47"/>
    <mergeCell ref="A34:C34"/>
    <mergeCell ref="F43:G43"/>
    <mergeCell ref="A40:I40"/>
    <mergeCell ref="F42:G42"/>
    <mergeCell ref="B42:C42"/>
    <mergeCell ref="B43:C43"/>
    <mergeCell ref="B44:C44"/>
    <mergeCell ref="A11:I11"/>
    <mergeCell ref="A1:I1"/>
    <mergeCell ref="A2:I2"/>
    <mergeCell ref="A5:I5"/>
    <mergeCell ref="A10:I10"/>
    <mergeCell ref="A3:K3"/>
    <mergeCell ref="F46:G46"/>
    <mergeCell ref="F44:G44"/>
    <mergeCell ref="B45:C45"/>
    <mergeCell ref="F45:G45"/>
    <mergeCell ref="A12:I12"/>
    <mergeCell ref="A33:F3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PageLayoutView="0" workbookViewId="0" topLeftCell="A40">
      <selection activeCell="F43" sqref="F43:G43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140625" style="35" customWidth="1"/>
    <col min="4" max="4" width="12.8515625" style="35" customWidth="1"/>
    <col min="5" max="5" width="13.421875" style="35" customWidth="1"/>
    <col min="6" max="6" width="13.00390625" style="35" customWidth="1"/>
    <col min="7" max="7" width="14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7.2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11.2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3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5" s="67" customFormat="1" ht="16.5" customHeight="1">
      <c r="A7" s="67" t="s">
        <v>2</v>
      </c>
      <c r="E7" s="127" t="s">
        <v>64</v>
      </c>
    </row>
    <row r="8" spans="1:10" s="67" customFormat="1" ht="15">
      <c r="A8" s="67" t="s">
        <v>3</v>
      </c>
      <c r="E8" s="295" t="s">
        <v>243</v>
      </c>
      <c r="I8" s="202">
        <v>617.3</v>
      </c>
      <c r="J8" s="202">
        <v>2428.3</v>
      </c>
    </row>
    <row r="9" s="67" customFormat="1" ht="8.2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'[1]Социалистическая 12'!$G$36</f>
        <v>22929.370000000003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'[1]Социалистическая 12'!$G$37</f>
        <v>59825.498600000006</v>
      </c>
      <c r="H15" s="62"/>
      <c r="I15" s="62"/>
    </row>
    <row r="16" s="67" customFormat="1" ht="7.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31.5" customHeight="1">
      <c r="A18" s="75" t="s">
        <v>14</v>
      </c>
      <c r="B18" s="41" t="s">
        <v>15</v>
      </c>
      <c r="C18" s="136">
        <f>C19+C20+C21+C22</f>
        <v>10.34</v>
      </c>
      <c r="D18" s="76">
        <v>315958.51</v>
      </c>
      <c r="E18" s="76">
        <v>297018.46</v>
      </c>
      <c r="F18" s="76">
        <f>D18</f>
        <v>315958.51</v>
      </c>
      <c r="G18" s="77">
        <f>D18-E18</f>
        <v>18940.04999999999</v>
      </c>
      <c r="H18" s="137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105726.92887814314</v>
      </c>
      <c r="E19" s="83">
        <f>E18*I19</f>
        <v>99389.15586073503</v>
      </c>
      <c r="F19" s="83">
        <f>D19</f>
        <v>105726.92887814314</v>
      </c>
      <c r="G19" s="84">
        <f>D19-E19</f>
        <v>6337.773017408108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51641.18780464216</v>
      </c>
      <c r="E20" s="83">
        <f>E18*I20</f>
        <v>48545.57034816247</v>
      </c>
      <c r="F20" s="83">
        <f>D20</f>
        <v>51641.18780464216</v>
      </c>
      <c r="G20" s="84">
        <f>D20-E20</f>
        <v>3095.6174564796893</v>
      </c>
      <c r="H20" s="78">
        <f>C20</f>
        <v>1.69</v>
      </c>
      <c r="I20" s="67">
        <f>H20/H18</f>
        <v>0.1634429400386847</v>
      </c>
    </row>
    <row r="21" spans="1:9" s="67" customFormat="1" ht="15" customHeight="1">
      <c r="A21" s="81" t="s">
        <v>20</v>
      </c>
      <c r="B21" s="34" t="s">
        <v>21</v>
      </c>
      <c r="C21" s="99">
        <v>2.15</v>
      </c>
      <c r="D21" s="83">
        <f>D18*I21</f>
        <v>65697.36910058027</v>
      </c>
      <c r="E21" s="83">
        <f>E18*I21</f>
        <v>61759.15754352031</v>
      </c>
      <c r="F21" s="83">
        <f>D21</f>
        <v>65697.36910058027</v>
      </c>
      <c r="G21" s="84">
        <f>D21-E21</f>
        <v>3938.2115570599562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92893.02421663444</v>
      </c>
      <c r="E22" s="83">
        <f>E18*I22</f>
        <v>87324.57624758221</v>
      </c>
      <c r="F22" s="83">
        <f>D22</f>
        <v>92893.02421663444</v>
      </c>
      <c r="G22" s="84">
        <f>D22-E22</f>
        <v>5568.447969052228</v>
      </c>
      <c r="H22" s="78">
        <f>C22</f>
        <v>3.04</v>
      </c>
      <c r="I22" s="67">
        <f>H22/H18</f>
        <v>0.2940038684719536</v>
      </c>
    </row>
    <row r="23" spans="1:7" s="39" customFormat="1" ht="15" customHeight="1">
      <c r="A23" s="41" t="s">
        <v>25</v>
      </c>
      <c r="B23" s="141" t="s">
        <v>26</v>
      </c>
      <c r="C23" s="142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3.5" customHeight="1">
      <c r="A24" s="41" t="s">
        <v>27</v>
      </c>
      <c r="B24" s="141" t="s">
        <v>28</v>
      </c>
      <c r="C24" s="142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5.75" customHeight="1">
      <c r="A25" s="41" t="s">
        <v>29</v>
      </c>
      <c r="B25" s="141" t="s">
        <v>163</v>
      </c>
      <c r="C25" s="142" t="s">
        <v>333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1" t="s">
        <v>116</v>
      </c>
      <c r="C26" s="142">
        <v>2.82</v>
      </c>
      <c r="D26" s="77">
        <v>82173.48</v>
      </c>
      <c r="E26" s="77">
        <v>81055.87</v>
      </c>
      <c r="F26" s="76">
        <f>F42</f>
        <v>89725.9187</v>
      </c>
      <c r="G26" s="77">
        <f t="shared" si="1"/>
        <v>1117.6100000000006</v>
      </c>
      <c r="M26" s="182"/>
    </row>
    <row r="27" spans="1:7" s="39" customFormat="1" ht="14.25">
      <c r="A27" s="41" t="s">
        <v>33</v>
      </c>
      <c r="B27" s="135" t="s">
        <v>34</v>
      </c>
      <c r="C27" s="136">
        <v>0</v>
      </c>
      <c r="D27" s="77">
        <v>0</v>
      </c>
      <c r="E27" s="77">
        <v>15.05</v>
      </c>
      <c r="F27" s="76">
        <f>D27</f>
        <v>0</v>
      </c>
      <c r="G27" s="77">
        <f t="shared" si="1"/>
        <v>-15.05</v>
      </c>
    </row>
    <row r="28" spans="1:7" s="39" customFormat="1" ht="14.25">
      <c r="A28" s="41" t="s">
        <v>35</v>
      </c>
      <c r="B28" s="135" t="s">
        <v>36</v>
      </c>
      <c r="C28" s="136"/>
      <c r="D28" s="77">
        <f>SUM(D29:D32)</f>
        <v>1389946.8599999999</v>
      </c>
      <c r="E28" s="77">
        <f>SUM(E29:E32)</f>
        <v>1367792.96</v>
      </c>
      <c r="F28" s="76">
        <f t="shared" si="0"/>
        <v>1389946.8599999999</v>
      </c>
      <c r="G28" s="77">
        <f t="shared" si="1"/>
        <v>22153.899999999907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56823.89</v>
      </c>
      <c r="E29" s="84">
        <v>56762.97</v>
      </c>
      <c r="F29" s="83">
        <f>D29</f>
        <v>56823.89</v>
      </c>
      <c r="G29" s="84">
        <f t="shared" si="1"/>
        <v>60.919999999998254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241509.27</v>
      </c>
      <c r="E30" s="84">
        <v>236042.53</v>
      </c>
      <c r="F30" s="83">
        <f t="shared" si="0"/>
        <v>241509.27</v>
      </c>
      <c r="G30" s="84">
        <f t="shared" si="1"/>
        <v>5466.739999999991</v>
      </c>
    </row>
    <row r="31" spans="1:7" ht="15">
      <c r="A31" s="34" t="s">
        <v>42</v>
      </c>
      <c r="B31" s="34" t="s">
        <v>421</v>
      </c>
      <c r="C31" s="290" t="s">
        <v>408</v>
      </c>
      <c r="D31" s="84">
        <v>392586.71</v>
      </c>
      <c r="E31" s="84">
        <v>379647.67</v>
      </c>
      <c r="F31" s="83">
        <f t="shared" si="0"/>
        <v>392586.71</v>
      </c>
      <c r="G31" s="84">
        <f t="shared" si="1"/>
        <v>12939.040000000037</v>
      </c>
    </row>
    <row r="32" spans="1:7" ht="15" customHeight="1">
      <c r="A32" s="34" t="s">
        <v>41</v>
      </c>
      <c r="B32" s="34" t="s">
        <v>43</v>
      </c>
      <c r="C32" s="289" t="s">
        <v>407</v>
      </c>
      <c r="D32" s="84">
        <v>699026.99</v>
      </c>
      <c r="E32" s="84">
        <v>695339.79</v>
      </c>
      <c r="F32" s="83">
        <f t="shared" si="0"/>
        <v>699026.99</v>
      </c>
      <c r="G32" s="84">
        <f t="shared" si="1"/>
        <v>3687.1999999999534</v>
      </c>
    </row>
    <row r="33" spans="1:10" s="102" customFormat="1" ht="23.25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1597197.02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22944.420000000002</v>
      </c>
      <c r="H36" s="62"/>
      <c r="I36" s="62"/>
    </row>
    <row r="37" spans="1:13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51155.44989999999</v>
      </c>
      <c r="H37" s="62"/>
      <c r="I37" s="62"/>
      <c r="M37" s="146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6.25" customHeight="1">
      <c r="A39" s="377" t="s">
        <v>44</v>
      </c>
      <c r="B39" s="377"/>
      <c r="C39" s="377"/>
      <c r="D39" s="377"/>
      <c r="E39" s="377"/>
      <c r="F39" s="377"/>
      <c r="G39" s="377"/>
      <c r="H39" s="377"/>
      <c r="I39" s="377"/>
    </row>
    <row r="41" spans="1:7" s="172" customFormat="1" ht="28.5" customHeight="1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19"/>
    </row>
    <row r="42" spans="1:7" s="115" customFormat="1" ht="12.75" customHeight="1">
      <c r="A42" s="109" t="s">
        <v>47</v>
      </c>
      <c r="B42" s="403" t="s">
        <v>111</v>
      </c>
      <c r="C42" s="425"/>
      <c r="D42" s="173"/>
      <c r="E42" s="173"/>
      <c r="F42" s="430">
        <f>SUM(F43:G48)</f>
        <v>89725.9187</v>
      </c>
      <c r="G42" s="419"/>
    </row>
    <row r="43" spans="1:7" ht="28.5" customHeight="1">
      <c r="A43" s="34" t="s">
        <v>16</v>
      </c>
      <c r="B43" s="413" t="s">
        <v>674</v>
      </c>
      <c r="C43" s="423"/>
      <c r="D43" s="360" t="s">
        <v>230</v>
      </c>
      <c r="E43" s="360">
        <v>0.01</v>
      </c>
      <c r="F43" s="431">
        <v>59107.09</v>
      </c>
      <c r="G43" s="431"/>
    </row>
    <row r="44" spans="1:7" ht="12.75" customHeight="1">
      <c r="A44" s="34" t="s">
        <v>18</v>
      </c>
      <c r="B44" s="359" t="s">
        <v>665</v>
      </c>
      <c r="C44" s="118"/>
      <c r="D44" s="360" t="s">
        <v>236</v>
      </c>
      <c r="E44" s="360">
        <v>2</v>
      </c>
      <c r="F44" s="431">
        <v>1790</v>
      </c>
      <c r="G44" s="431"/>
    </row>
    <row r="45" spans="1:7" ht="12.75" customHeight="1">
      <c r="A45" s="34" t="s">
        <v>20</v>
      </c>
      <c r="B45" s="359" t="s">
        <v>262</v>
      </c>
      <c r="C45" s="118"/>
      <c r="D45" s="360" t="s">
        <v>230</v>
      </c>
      <c r="E45" s="360">
        <v>0.01</v>
      </c>
      <c r="F45" s="431">
        <v>20252.74</v>
      </c>
      <c r="G45" s="431"/>
    </row>
    <row r="46" spans="1:7" ht="12.75" customHeight="1">
      <c r="A46" s="34" t="s">
        <v>22</v>
      </c>
      <c r="B46" s="359" t="s">
        <v>162</v>
      </c>
      <c r="C46" s="118"/>
      <c r="D46" s="360" t="s">
        <v>169</v>
      </c>
      <c r="E46" s="360">
        <v>600</v>
      </c>
      <c r="F46" s="431">
        <v>6444</v>
      </c>
      <c r="G46" s="431"/>
    </row>
    <row r="47" spans="1:7" ht="24" customHeight="1">
      <c r="A47" s="34" t="s">
        <v>24</v>
      </c>
      <c r="B47" s="413" t="s">
        <v>675</v>
      </c>
      <c r="C47" s="442"/>
      <c r="D47" s="360" t="s">
        <v>676</v>
      </c>
      <c r="E47" s="360">
        <v>1</v>
      </c>
      <c r="F47" s="431">
        <v>1321.53</v>
      </c>
      <c r="G47" s="431"/>
    </row>
    <row r="48" spans="1:7" ht="12.75" customHeight="1">
      <c r="A48" s="34" t="s">
        <v>103</v>
      </c>
      <c r="B48" s="382" t="s">
        <v>191</v>
      </c>
      <c r="C48" s="384"/>
      <c r="D48" s="152"/>
      <c r="E48" s="152"/>
      <c r="F48" s="446">
        <f>E26*1%</f>
        <v>810.5586999999999</v>
      </c>
      <c r="G48" s="447"/>
    </row>
    <row r="49" spans="2:5" ht="15">
      <c r="B49" s="155"/>
      <c r="C49" s="155"/>
      <c r="D49" s="155"/>
      <c r="E49" s="155"/>
    </row>
    <row r="50" spans="1:6" s="67" customFormat="1" ht="15">
      <c r="A50" s="67" t="s">
        <v>55</v>
      </c>
      <c r="C50" s="67" t="s">
        <v>49</v>
      </c>
      <c r="F50" s="67" t="s">
        <v>90</v>
      </c>
    </row>
    <row r="51" s="67" customFormat="1" ht="13.5" customHeight="1">
      <c r="F51" s="127" t="s">
        <v>438</v>
      </c>
    </row>
    <row r="52" s="67" customFormat="1" ht="15">
      <c r="A52" s="67" t="s">
        <v>50</v>
      </c>
    </row>
    <row r="53" spans="3:7" s="67" customFormat="1" ht="15">
      <c r="C53" s="129" t="s">
        <v>51</v>
      </c>
      <c r="E53" s="129"/>
      <c r="F53" s="129"/>
      <c r="G53" s="129"/>
    </row>
    <row r="54" s="67" customFormat="1" ht="15"/>
    <row r="55" s="67" customFormat="1" ht="15"/>
  </sheetData>
  <sheetProtection/>
  <mergeCells count="23">
    <mergeCell ref="A1:I1"/>
    <mergeCell ref="A2:I2"/>
    <mergeCell ref="A5:I5"/>
    <mergeCell ref="A10:I10"/>
    <mergeCell ref="A3:K3"/>
    <mergeCell ref="F43:G43"/>
    <mergeCell ref="B41:C41"/>
    <mergeCell ref="B42:C42"/>
    <mergeCell ref="A33:F33"/>
    <mergeCell ref="B43:C43"/>
    <mergeCell ref="F44:G44"/>
    <mergeCell ref="F45:G45"/>
    <mergeCell ref="F48:G48"/>
    <mergeCell ref="B48:C48"/>
    <mergeCell ref="B47:C47"/>
    <mergeCell ref="F47:G47"/>
    <mergeCell ref="F46:G46"/>
    <mergeCell ref="A11:I11"/>
    <mergeCell ref="A34:C34"/>
    <mergeCell ref="A12:I12"/>
    <mergeCell ref="A39:I39"/>
    <mergeCell ref="F42:G42"/>
    <mergeCell ref="F41:G4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32">
      <selection activeCell="A48" sqref="A48"/>
    </sheetView>
  </sheetViews>
  <sheetFormatPr defaultColWidth="9.140625" defaultRowHeight="15" outlineLevelCol="1"/>
  <cols>
    <col min="1" max="1" width="4.7109375" style="35" customWidth="1"/>
    <col min="2" max="2" width="44.421875" style="35" customWidth="1"/>
    <col min="3" max="3" width="14.8515625" style="35" customWidth="1"/>
    <col min="4" max="4" width="12.8515625" style="35" customWidth="1"/>
    <col min="5" max="5" width="12.57421875" style="35" customWidth="1"/>
    <col min="6" max="6" width="12.0039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851562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6" s="67" customFormat="1" ht="16.5" customHeight="1">
      <c r="A7" s="67" t="s">
        <v>2</v>
      </c>
      <c r="F7" s="127" t="s">
        <v>65</v>
      </c>
    </row>
    <row r="8" spans="1:10" s="67" customFormat="1" ht="15">
      <c r="A8" s="67" t="s">
        <v>3</v>
      </c>
      <c r="F8" s="295" t="s">
        <v>241</v>
      </c>
      <c r="I8" s="202">
        <v>408.8</v>
      </c>
      <c r="J8" s="202">
        <v>1720.2</v>
      </c>
    </row>
    <row r="9" s="67" customFormat="1" ht="6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'[1]Телевизионная 2'!$G$36</f>
        <v>14380.71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'[1]Телевизионная 2'!$G$37</f>
        <v>-174277.35150000005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14" s="168" customFormat="1" ht="28.5">
      <c r="A18" s="75" t="s">
        <v>14</v>
      </c>
      <c r="B18" s="41" t="s">
        <v>15</v>
      </c>
      <c r="C18" s="136">
        <f>C19+C20+C21+C22</f>
        <v>9.879999999999999</v>
      </c>
      <c r="D18" s="76">
        <v>218451.33</v>
      </c>
      <c r="E18" s="76">
        <v>205450.01</v>
      </c>
      <c r="F18" s="76">
        <f>D18</f>
        <v>218451.33</v>
      </c>
      <c r="G18" s="77">
        <f>D18-E18</f>
        <v>13001.319999999978</v>
      </c>
      <c r="H18" s="167">
        <f>C18</f>
        <v>9.879999999999999</v>
      </c>
      <c r="N18" s="167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76502.18641700405</v>
      </c>
      <c r="E19" s="83">
        <f>E18*I19</f>
        <v>71949.09257085022</v>
      </c>
      <c r="F19" s="83">
        <f>D19</f>
        <v>76502.18641700405</v>
      </c>
      <c r="G19" s="84">
        <f>D19-E19</f>
        <v>4553.093846153832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37366.674868421054</v>
      </c>
      <c r="E20" s="83">
        <f>E18*I20</f>
        <v>35142.76486842106</v>
      </c>
      <c r="F20" s="83">
        <f>D20</f>
        <v>37366.674868421054</v>
      </c>
      <c r="G20" s="84">
        <f>D20-E20</f>
        <v>2223.909999999996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37366.674868421054</v>
      </c>
      <c r="E21" s="83">
        <f>E18*I21</f>
        <v>35142.76486842106</v>
      </c>
      <c r="F21" s="83">
        <f>D21</f>
        <v>37366.674868421054</v>
      </c>
      <c r="G21" s="84">
        <f>D21-E21</f>
        <v>2223.909999999996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67215.79384615384</v>
      </c>
      <c r="E22" s="83">
        <f>E18*I22</f>
        <v>63215.3876923077</v>
      </c>
      <c r="F22" s="83">
        <f>D22</f>
        <v>67215.79384615384</v>
      </c>
      <c r="G22" s="84">
        <f>D22-E22</f>
        <v>4000.4061538461465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26</v>
      </c>
      <c r="C23" s="97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1" t="s">
        <v>163</v>
      </c>
      <c r="C25" s="142">
        <v>1902.11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1" t="s">
        <v>116</v>
      </c>
      <c r="C26" s="97">
        <v>1.86</v>
      </c>
      <c r="D26" s="77">
        <v>38395.2</v>
      </c>
      <c r="E26" s="77">
        <v>38645.13</v>
      </c>
      <c r="F26" s="76">
        <f>F42</f>
        <v>23091.6513</v>
      </c>
      <c r="G26" s="77">
        <f t="shared" si="1"/>
        <v>-249.9300000000003</v>
      </c>
      <c r="M26" s="182"/>
    </row>
    <row r="27" spans="1:7" s="39" customFormat="1" ht="14.25">
      <c r="A27" s="41" t="s">
        <v>33</v>
      </c>
      <c r="B27" s="135" t="s">
        <v>34</v>
      </c>
      <c r="C27" s="46">
        <v>0</v>
      </c>
      <c r="D27" s="77">
        <v>0</v>
      </c>
      <c r="E27" s="77">
        <v>684.26</v>
      </c>
      <c r="F27" s="76">
        <f>D27</f>
        <v>0</v>
      </c>
      <c r="G27" s="77">
        <f t="shared" si="1"/>
        <v>-684.26</v>
      </c>
    </row>
    <row r="28" spans="1:7" s="39" customFormat="1" ht="14.25">
      <c r="A28" s="41" t="s">
        <v>35</v>
      </c>
      <c r="B28" s="135" t="s">
        <v>36</v>
      </c>
      <c r="C28" s="97"/>
      <c r="D28" s="77">
        <f>SUM(D29:D32)</f>
        <v>745318.63</v>
      </c>
      <c r="E28" s="77">
        <f>SUM(E29:E32)</f>
        <v>748422.11</v>
      </c>
      <c r="F28" s="76">
        <f t="shared" si="0"/>
        <v>745318.63</v>
      </c>
      <c r="G28" s="77">
        <f t="shared" si="1"/>
        <v>-3103.4799999999814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21239.05</v>
      </c>
      <c r="E29" s="84">
        <v>20722.45</v>
      </c>
      <c r="F29" s="83">
        <f>D29</f>
        <v>21239.05</v>
      </c>
      <c r="G29" s="84">
        <f t="shared" si="1"/>
        <v>516.5999999999985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232096.96</v>
      </c>
      <c r="E30" s="84">
        <v>244726.15</v>
      </c>
      <c r="F30" s="83">
        <f t="shared" si="0"/>
        <v>232096.96</v>
      </c>
      <c r="G30" s="84">
        <f t="shared" si="1"/>
        <v>-12629.190000000002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491982.62</v>
      </c>
      <c r="E32" s="84">
        <v>482973.51</v>
      </c>
      <c r="F32" s="83">
        <f t="shared" si="0"/>
        <v>491982.62</v>
      </c>
      <c r="G32" s="84">
        <f t="shared" si="1"/>
        <v>9009.109999999986</v>
      </c>
    </row>
    <row r="33" spans="1:10" s="102" customFormat="1" ht="21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508261.43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15064.97</v>
      </c>
      <c r="H36" s="62"/>
      <c r="I36" s="62"/>
    </row>
    <row r="37" spans="1:13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-158723.87280000004</v>
      </c>
      <c r="H37" s="62"/>
      <c r="I37" s="62"/>
      <c r="M37" s="146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7" customHeight="1">
      <c r="A39" s="377" t="s">
        <v>44</v>
      </c>
      <c r="B39" s="377"/>
      <c r="C39" s="377"/>
      <c r="D39" s="377"/>
      <c r="E39" s="377"/>
      <c r="F39" s="377"/>
      <c r="G39" s="377"/>
      <c r="H39" s="377"/>
      <c r="I39" s="377"/>
    </row>
    <row r="40" ht="4.5" customHeight="1"/>
    <row r="41" spans="1:7" s="172" customFormat="1" ht="28.5" customHeight="1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19"/>
    </row>
    <row r="42" spans="1:7" s="115" customFormat="1" ht="12.75" customHeight="1">
      <c r="A42" s="109" t="s">
        <v>47</v>
      </c>
      <c r="B42" s="403" t="s">
        <v>111</v>
      </c>
      <c r="C42" s="425"/>
      <c r="D42" s="111"/>
      <c r="E42" s="111"/>
      <c r="F42" s="430">
        <f>SUM(F43:G47)</f>
        <v>23091.6513</v>
      </c>
      <c r="G42" s="419"/>
    </row>
    <row r="43" spans="1:7" ht="12.75" customHeight="1">
      <c r="A43" s="34" t="s">
        <v>16</v>
      </c>
      <c r="B43" s="413" t="s">
        <v>380</v>
      </c>
      <c r="C43" s="423"/>
      <c r="D43" s="349"/>
      <c r="E43" s="353" t="s">
        <v>634</v>
      </c>
      <c r="F43" s="451">
        <v>10526</v>
      </c>
      <c r="G43" s="452"/>
    </row>
    <row r="44" spans="1:7" ht="12.75" customHeight="1">
      <c r="A44" s="34" t="s">
        <v>18</v>
      </c>
      <c r="B44" s="413" t="s">
        <v>673</v>
      </c>
      <c r="C44" s="423"/>
      <c r="D44" s="349" t="s">
        <v>169</v>
      </c>
      <c r="E44" s="349">
        <v>800</v>
      </c>
      <c r="F44" s="451">
        <v>8179.2</v>
      </c>
      <c r="G44" s="452"/>
    </row>
    <row r="45" spans="1:7" ht="12.75" customHeight="1">
      <c r="A45" s="34" t="s">
        <v>20</v>
      </c>
      <c r="B45" s="413" t="s">
        <v>694</v>
      </c>
      <c r="C45" s="423"/>
      <c r="D45" s="119"/>
      <c r="E45" s="119"/>
      <c r="F45" s="446">
        <v>4000</v>
      </c>
      <c r="G45" s="447"/>
    </row>
    <row r="46" spans="1:7" ht="12.75" customHeight="1">
      <c r="A46" s="34" t="s">
        <v>22</v>
      </c>
      <c r="B46" s="427"/>
      <c r="C46" s="428"/>
      <c r="D46" s="125"/>
      <c r="E46" s="125"/>
      <c r="F46" s="449"/>
      <c r="G46" s="450"/>
    </row>
    <row r="47" spans="1:7" ht="12.75" customHeight="1">
      <c r="A47" s="34" t="s">
        <v>24</v>
      </c>
      <c r="B47" s="440" t="s">
        <v>191</v>
      </c>
      <c r="C47" s="441"/>
      <c r="D47" s="125"/>
      <c r="E47" s="125"/>
      <c r="F47" s="446">
        <f>E26*1%</f>
        <v>386.4513</v>
      </c>
      <c r="G47" s="447"/>
    </row>
    <row r="48" spans="1:7" ht="12.75" customHeight="1">
      <c r="A48" s="169"/>
      <c r="B48" s="93"/>
      <c r="C48" s="93"/>
      <c r="D48" s="94"/>
      <c r="E48" s="94"/>
      <c r="F48" s="181"/>
      <c r="G48" s="181"/>
    </row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3.5" customHeight="1">
      <c r="F50" s="127" t="s">
        <v>438</v>
      </c>
    </row>
    <row r="51" s="67" customFormat="1" ht="15">
      <c r="A51" s="67" t="s">
        <v>50</v>
      </c>
    </row>
    <row r="52" spans="3:7" s="67" customFormat="1" ht="15">
      <c r="C52" s="129" t="s">
        <v>51</v>
      </c>
      <c r="E52" s="129"/>
      <c r="F52" s="129"/>
      <c r="G52" s="129"/>
    </row>
    <row r="53" s="67" customFormat="1" ht="15"/>
    <row r="54" s="67" customFormat="1" ht="15"/>
  </sheetData>
  <sheetProtection/>
  <mergeCells count="24">
    <mergeCell ref="A1:I1"/>
    <mergeCell ref="A2:I2"/>
    <mergeCell ref="A5:I5"/>
    <mergeCell ref="A10:I10"/>
    <mergeCell ref="A3:K3"/>
    <mergeCell ref="F47:G47"/>
    <mergeCell ref="B47:C47"/>
    <mergeCell ref="F44:G44"/>
    <mergeCell ref="B44:C44"/>
    <mergeCell ref="F42:G42"/>
    <mergeCell ref="A11:I11"/>
    <mergeCell ref="A12:I12"/>
    <mergeCell ref="A39:I39"/>
    <mergeCell ref="F41:G41"/>
    <mergeCell ref="B41:C41"/>
    <mergeCell ref="A33:F33"/>
    <mergeCell ref="B42:C42"/>
    <mergeCell ref="A34:C34"/>
    <mergeCell ref="F43:G43"/>
    <mergeCell ref="B43:C43"/>
    <mergeCell ref="F45:G45"/>
    <mergeCell ref="B45:C45"/>
    <mergeCell ref="B46:C46"/>
    <mergeCell ref="F46:G46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zoomScalePageLayoutView="0" workbookViewId="0" topLeftCell="A37">
      <selection activeCell="F44" sqref="F44:G51"/>
    </sheetView>
  </sheetViews>
  <sheetFormatPr defaultColWidth="9.140625" defaultRowHeight="15" outlineLevelCol="1"/>
  <cols>
    <col min="1" max="1" width="4.7109375" style="35" customWidth="1"/>
    <col min="2" max="2" width="41.421875" style="35" customWidth="1"/>
    <col min="3" max="3" width="13.28125" style="35" customWidth="1"/>
    <col min="4" max="4" width="13.57421875" style="35" customWidth="1"/>
    <col min="5" max="5" width="13.140625" style="35" customWidth="1"/>
    <col min="6" max="6" width="12.8515625" style="35" customWidth="1"/>
    <col min="7" max="7" width="13.28125" style="35" customWidth="1"/>
    <col min="8" max="8" width="10.8515625" style="35" hidden="1" customWidth="1" outlineLevel="1"/>
    <col min="9" max="9" width="14.421875" style="35" hidden="1" customWidth="1" outlineLevel="1"/>
    <col min="10" max="11" width="9.140625" style="35" hidden="1" customWidth="1" outlineLevel="1"/>
    <col min="12" max="12" width="9.140625" style="35" hidden="1" customWidth="1" outlineLevel="1" collapsed="1"/>
    <col min="13" max="13" width="10.14062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7.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.75" customHeight="1"/>
    <row r="7" spans="1:6" s="67" customFormat="1" ht="16.5" customHeight="1">
      <c r="A7" s="67" t="s">
        <v>2</v>
      </c>
      <c r="F7" s="127" t="s">
        <v>66</v>
      </c>
    </row>
    <row r="8" spans="1:6" s="67" customFormat="1" ht="15">
      <c r="A8" s="67" t="s">
        <v>3</v>
      </c>
      <c r="F8" s="295" t="s">
        <v>132</v>
      </c>
    </row>
    <row r="9" s="67" customFormat="1" ht="18" customHeight="1"/>
    <row r="10" spans="1:9" s="67" customFormat="1" ht="11.25" customHeight="1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3.5" customHeight="1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2.75" customHeight="1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'[1]Телевизионная 4'!$G$36</f>
        <v>18648.48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'[1]Телевизионная 4'!$G$37</f>
        <v>49644.1956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29.25">
      <c r="A18" s="75" t="s">
        <v>14</v>
      </c>
      <c r="B18" s="41" t="s">
        <v>15</v>
      </c>
      <c r="C18" s="136">
        <f>C19+C20+C21+C22</f>
        <v>9.879999999999999</v>
      </c>
      <c r="D18" s="76">
        <v>229468.92</v>
      </c>
      <c r="E18" s="76">
        <v>239843.1</v>
      </c>
      <c r="F18" s="76">
        <f>D18</f>
        <v>229468.92</v>
      </c>
      <c r="G18" s="77">
        <f>D18-E18</f>
        <v>-10374.179999999993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80360.57319838057</v>
      </c>
      <c r="E19" s="83">
        <f>E18*I19</f>
        <v>83993.63623481782</v>
      </c>
      <c r="F19" s="83">
        <f>D19</f>
        <v>80360.57319838057</v>
      </c>
      <c r="G19" s="84">
        <f>D19-E19</f>
        <v>-3633.0630364372482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39251.26263157895</v>
      </c>
      <c r="E20" s="83">
        <f>E18*I20</f>
        <v>41025.79342105264</v>
      </c>
      <c r="F20" s="83">
        <f>D20</f>
        <v>39251.26263157895</v>
      </c>
      <c r="G20" s="84">
        <f>D20-E20</f>
        <v>-1774.5307894736834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39251.26263157895</v>
      </c>
      <c r="E21" s="83">
        <f>E18*I21</f>
        <v>41025.79342105264</v>
      </c>
      <c r="F21" s="83">
        <f>D21</f>
        <v>39251.26263157895</v>
      </c>
      <c r="G21" s="84">
        <f>D21-E21</f>
        <v>-1774.5307894736834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70605.82153846155</v>
      </c>
      <c r="E22" s="83">
        <f>E18*I22</f>
        <v>73797.87692307692</v>
      </c>
      <c r="F22" s="83">
        <f>D22</f>
        <v>70605.82153846155</v>
      </c>
      <c r="G22" s="84">
        <f>D22-E22</f>
        <v>-3192.055384615378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420</v>
      </c>
      <c r="C23" s="97">
        <v>125</v>
      </c>
      <c r="D23" s="77">
        <v>55250.1</v>
      </c>
      <c r="E23" s="77">
        <v>51059.14</v>
      </c>
      <c r="F23" s="76">
        <f aca="true" t="shared" si="0" ref="F23:F32">D23</f>
        <v>55250.1</v>
      </c>
      <c r="G23" s="77">
        <f aca="true" t="shared" si="1" ref="G23:G32">D23-E23</f>
        <v>4190.959999999999</v>
      </c>
    </row>
    <row r="24" spans="1:7" s="39" customFormat="1" ht="14.2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1" t="s">
        <v>163</v>
      </c>
      <c r="C25" s="142">
        <v>12.54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1" t="s">
        <v>116</v>
      </c>
      <c r="C26" s="97">
        <v>1.86</v>
      </c>
      <c r="D26" s="77">
        <v>43171.2</v>
      </c>
      <c r="E26" s="77">
        <v>45520.45</v>
      </c>
      <c r="F26" s="76">
        <f>F43</f>
        <v>72199.1245</v>
      </c>
      <c r="G26" s="77">
        <f t="shared" si="1"/>
        <v>-2349.25</v>
      </c>
      <c r="M26" s="182"/>
    </row>
    <row r="27" spans="1:7" s="39" customFormat="1" ht="14.25">
      <c r="A27" s="41" t="s">
        <v>33</v>
      </c>
      <c r="B27" s="135" t="s">
        <v>34</v>
      </c>
      <c r="C27" s="46">
        <v>0</v>
      </c>
      <c r="D27" s="77">
        <v>0</v>
      </c>
      <c r="E27" s="77">
        <v>1826.3</v>
      </c>
      <c r="F27" s="76">
        <f>D27</f>
        <v>0</v>
      </c>
      <c r="G27" s="77">
        <f t="shared" si="1"/>
        <v>-1826.3</v>
      </c>
    </row>
    <row r="28" spans="1:7" s="39" customFormat="1" ht="14.25">
      <c r="A28" s="41" t="s">
        <v>35</v>
      </c>
      <c r="B28" s="135" t="s">
        <v>36</v>
      </c>
      <c r="C28" s="97"/>
      <c r="D28" s="77">
        <f>SUM(D29:D32)</f>
        <v>1098966.39</v>
      </c>
      <c r="E28" s="77">
        <f>SUM(E29:E32)</f>
        <v>1130286.99</v>
      </c>
      <c r="F28" s="76">
        <f t="shared" si="0"/>
        <v>1098966.39</v>
      </c>
      <c r="G28" s="77">
        <f t="shared" si="1"/>
        <v>-31320.600000000093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21076.25</v>
      </c>
      <c r="E29" s="84">
        <v>20837.86</v>
      </c>
      <c r="F29" s="83">
        <f>D29</f>
        <v>21076.25</v>
      </c>
      <c r="G29" s="84">
        <f t="shared" si="1"/>
        <v>238.38999999999942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326056.55</v>
      </c>
      <c r="E30" s="84">
        <v>365853.55</v>
      </c>
      <c r="F30" s="83">
        <f t="shared" si="0"/>
        <v>326056.55</v>
      </c>
      <c r="G30" s="84">
        <f t="shared" si="1"/>
        <v>-39797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751833.59</v>
      </c>
      <c r="E32" s="84">
        <v>743595.58</v>
      </c>
      <c r="F32" s="83">
        <f t="shared" si="0"/>
        <v>751833.59</v>
      </c>
      <c r="G32" s="84">
        <f t="shared" si="1"/>
        <v>8238.01000000001</v>
      </c>
    </row>
    <row r="33" spans="1:10" s="102" customFormat="1" ht="17.25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770442.67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20474.78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22965.521099999984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="67" customFormat="1" ht="9" customHeight="1"/>
    <row r="40" spans="1:9" ht="23.25" customHeight="1">
      <c r="A40" s="377" t="s">
        <v>44</v>
      </c>
      <c r="B40" s="377"/>
      <c r="C40" s="377"/>
      <c r="D40" s="377"/>
      <c r="E40" s="377"/>
      <c r="F40" s="377"/>
      <c r="G40" s="377"/>
      <c r="H40" s="377"/>
      <c r="I40" s="377"/>
    </row>
    <row r="41" ht="6.75" customHeight="1"/>
    <row r="42" spans="1:7" s="172" customFormat="1" ht="28.5" customHeight="1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19"/>
    </row>
    <row r="43" spans="1:7" s="115" customFormat="1" ht="13.5" customHeight="1">
      <c r="A43" s="109" t="s">
        <v>47</v>
      </c>
      <c r="B43" s="403" t="s">
        <v>111</v>
      </c>
      <c r="C43" s="425"/>
      <c r="D43" s="111"/>
      <c r="E43" s="111"/>
      <c r="F43" s="430">
        <f>SUM(F44:G51)</f>
        <v>72199.1245</v>
      </c>
      <c r="G43" s="419"/>
    </row>
    <row r="44" spans="1:7" s="115" customFormat="1" ht="13.5" customHeight="1">
      <c r="A44" s="34" t="s">
        <v>16</v>
      </c>
      <c r="B44" s="453" t="s">
        <v>162</v>
      </c>
      <c r="C44" s="454"/>
      <c r="D44" s="351" t="s">
        <v>169</v>
      </c>
      <c r="E44" s="351">
        <v>300</v>
      </c>
      <c r="F44" s="451">
        <v>5907</v>
      </c>
      <c r="G44" s="452"/>
    </row>
    <row r="45" spans="1:7" s="115" customFormat="1" ht="13.5" customHeight="1">
      <c r="A45" s="34" t="s">
        <v>18</v>
      </c>
      <c r="B45" s="453" t="s">
        <v>670</v>
      </c>
      <c r="C45" s="454"/>
      <c r="D45" s="351" t="s">
        <v>230</v>
      </c>
      <c r="E45" s="351">
        <v>0.01</v>
      </c>
      <c r="F45" s="451">
        <v>11660.18</v>
      </c>
      <c r="G45" s="452"/>
    </row>
    <row r="46" spans="1:7" s="115" customFormat="1" ht="13.5" customHeight="1">
      <c r="A46" s="34" t="s">
        <v>20</v>
      </c>
      <c r="B46" s="453" t="s">
        <v>671</v>
      </c>
      <c r="C46" s="454"/>
      <c r="D46" s="351" t="s">
        <v>230</v>
      </c>
      <c r="E46" s="351">
        <v>0.01</v>
      </c>
      <c r="F46" s="451">
        <v>10754.5</v>
      </c>
      <c r="G46" s="452"/>
    </row>
    <row r="47" spans="1:7" s="115" customFormat="1" ht="13.5" customHeight="1">
      <c r="A47" s="34" t="s">
        <v>22</v>
      </c>
      <c r="B47" s="453" t="s">
        <v>672</v>
      </c>
      <c r="C47" s="454"/>
      <c r="D47" s="351" t="s">
        <v>230</v>
      </c>
      <c r="E47" s="351">
        <v>0.01</v>
      </c>
      <c r="F47" s="451">
        <v>12935.24</v>
      </c>
      <c r="G47" s="452"/>
    </row>
    <row r="48" spans="1:7" s="115" customFormat="1" ht="13.5" customHeight="1">
      <c r="A48" s="34" t="s">
        <v>24</v>
      </c>
      <c r="B48" s="453" t="s">
        <v>380</v>
      </c>
      <c r="C48" s="454"/>
      <c r="D48" s="351"/>
      <c r="E48" s="351" t="s">
        <v>699</v>
      </c>
      <c r="F48" s="451">
        <v>3487</v>
      </c>
      <c r="G48" s="452"/>
    </row>
    <row r="49" spans="1:7" s="115" customFormat="1" ht="13.5" customHeight="1">
      <c r="A49" s="34" t="s">
        <v>103</v>
      </c>
      <c r="B49" s="453" t="s">
        <v>694</v>
      </c>
      <c r="C49" s="454"/>
      <c r="D49" s="351"/>
      <c r="E49" s="351"/>
      <c r="F49" s="451">
        <v>12000</v>
      </c>
      <c r="G49" s="452"/>
    </row>
    <row r="50" spans="1:7" s="115" customFormat="1" ht="13.5" customHeight="1">
      <c r="A50" s="34" t="s">
        <v>104</v>
      </c>
      <c r="B50" s="453" t="s">
        <v>695</v>
      </c>
      <c r="C50" s="454"/>
      <c r="D50" s="351"/>
      <c r="E50" s="351"/>
      <c r="F50" s="451">
        <v>15000</v>
      </c>
      <c r="G50" s="452"/>
    </row>
    <row r="51" spans="1:7" ht="13.5" customHeight="1">
      <c r="A51" s="34" t="s">
        <v>117</v>
      </c>
      <c r="B51" s="455" t="s">
        <v>191</v>
      </c>
      <c r="C51" s="456"/>
      <c r="D51" s="125"/>
      <c r="E51" s="125"/>
      <c r="F51" s="446">
        <f>E26*1%</f>
        <v>455.2045</v>
      </c>
      <c r="G51" s="447"/>
    </row>
    <row r="52" spans="1:7" ht="15.75" customHeight="1">
      <c r="A52" s="169"/>
      <c r="B52" s="93"/>
      <c r="C52" s="93"/>
      <c r="D52" s="93"/>
      <c r="E52" s="93"/>
      <c r="F52" s="181"/>
      <c r="G52" s="181"/>
    </row>
    <row r="53" spans="1:6" s="67" customFormat="1" ht="15">
      <c r="A53" s="67" t="s">
        <v>55</v>
      </c>
      <c r="C53" s="67" t="s">
        <v>49</v>
      </c>
      <c r="F53" s="67" t="s">
        <v>90</v>
      </c>
    </row>
    <row r="54" s="67" customFormat="1" ht="13.5" customHeight="1">
      <c r="F54" s="127" t="s">
        <v>438</v>
      </c>
    </row>
    <row r="55" s="67" customFormat="1" ht="21" customHeight="1">
      <c r="A55" s="67" t="s">
        <v>50</v>
      </c>
    </row>
    <row r="56" spans="3:7" s="67" customFormat="1" ht="15">
      <c r="C56" s="129" t="s">
        <v>51</v>
      </c>
      <c r="E56" s="129"/>
      <c r="F56" s="129"/>
      <c r="G56" s="129"/>
    </row>
    <row r="57" s="67" customFormat="1" ht="15"/>
    <row r="58" s="67" customFormat="1" ht="15"/>
  </sheetData>
  <sheetProtection/>
  <mergeCells count="30">
    <mergeCell ref="B44:C44"/>
    <mergeCell ref="F44:G44"/>
    <mergeCell ref="F51:G51"/>
    <mergeCell ref="B51:C51"/>
    <mergeCell ref="A12:I12"/>
    <mergeCell ref="A34:C34"/>
    <mergeCell ref="A40:I40"/>
    <mergeCell ref="F42:G42"/>
    <mergeCell ref="F43:G43"/>
    <mergeCell ref="A33:F33"/>
    <mergeCell ref="B48:C48"/>
    <mergeCell ref="B49:C49"/>
    <mergeCell ref="B42:C42"/>
    <mergeCell ref="B43:C43"/>
    <mergeCell ref="A1:I1"/>
    <mergeCell ref="A2:I2"/>
    <mergeCell ref="A5:I5"/>
    <mergeCell ref="A10:I10"/>
    <mergeCell ref="A3:K3"/>
    <mergeCell ref="A11:I11"/>
    <mergeCell ref="F48:G48"/>
    <mergeCell ref="F49:G49"/>
    <mergeCell ref="B45:C45"/>
    <mergeCell ref="B50:C50"/>
    <mergeCell ref="F45:G45"/>
    <mergeCell ref="F46:G46"/>
    <mergeCell ref="F50:G50"/>
    <mergeCell ref="B46:C46"/>
    <mergeCell ref="B47:C47"/>
    <mergeCell ref="F47:G47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"/>
  <sheetViews>
    <sheetView zoomScalePageLayoutView="0" workbookViewId="0" topLeftCell="A37">
      <selection activeCell="M48" sqref="M48"/>
    </sheetView>
  </sheetViews>
  <sheetFormatPr defaultColWidth="9.140625" defaultRowHeight="15" outlineLevelCol="1"/>
  <cols>
    <col min="1" max="1" width="4.7109375" style="35" customWidth="1"/>
    <col min="2" max="2" width="43.28125" style="35" customWidth="1"/>
    <col min="3" max="3" width="13.140625" style="35" customWidth="1"/>
    <col min="4" max="4" width="12.00390625" style="35" customWidth="1"/>
    <col min="5" max="5" width="12.57421875" style="35" customWidth="1"/>
    <col min="6" max="6" width="11.14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851562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4.2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4.5" customHeight="1"/>
    <row r="7" spans="1:6" s="67" customFormat="1" ht="16.5" customHeight="1">
      <c r="A7" s="67" t="s">
        <v>2</v>
      </c>
      <c r="F7" s="127" t="s">
        <v>67</v>
      </c>
    </row>
    <row r="8" spans="1:6" s="67" customFormat="1" ht="15">
      <c r="A8" s="67" t="s">
        <v>3</v>
      </c>
      <c r="F8" s="127" t="s">
        <v>440</v>
      </c>
    </row>
    <row r="9" s="67" customFormat="1" ht="7.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'[1]Чичерина 7а'!$G$36</f>
        <v>15588.179999999998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'[1]Чичерина 7а'!$G$37</f>
        <v>83232.80360000001</v>
      </c>
      <c r="H15" s="62"/>
      <c r="I15" s="62"/>
    </row>
    <row r="16" s="67" customFormat="1" ht="9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28.5">
      <c r="A18" s="75" t="s">
        <v>14</v>
      </c>
      <c r="B18" s="41" t="s">
        <v>15</v>
      </c>
      <c r="C18" s="136">
        <f>C19+C20+C21+C22</f>
        <v>9.879999999999999</v>
      </c>
      <c r="D18" s="76">
        <v>166803.82</v>
      </c>
      <c r="E18" s="76">
        <v>151556.63</v>
      </c>
      <c r="F18" s="76">
        <f>D18</f>
        <v>166803.82</v>
      </c>
      <c r="G18" s="77">
        <f aca="true" t="shared" si="0" ref="G18:G26">D18-E18</f>
        <v>15247.190000000002</v>
      </c>
      <c r="H18" s="16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58415.1029554656</v>
      </c>
      <c r="E19" s="83">
        <f>E18*I19</f>
        <v>53075.49997975709</v>
      </c>
      <c r="F19" s="83">
        <f>D19</f>
        <v>58415.1029554656</v>
      </c>
      <c r="G19" s="84">
        <f t="shared" si="0"/>
        <v>5339.602975708505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28532.232368421053</v>
      </c>
      <c r="E20" s="83">
        <f>E18*I20</f>
        <v>25924.160394736842</v>
      </c>
      <c r="F20" s="83">
        <f>D20</f>
        <v>28532.232368421053</v>
      </c>
      <c r="G20" s="84">
        <f t="shared" si="0"/>
        <v>2608.071973684211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28532.232368421053</v>
      </c>
      <c r="E21" s="83">
        <f>E18*I21</f>
        <v>25924.160394736842</v>
      </c>
      <c r="F21" s="83">
        <f>D21</f>
        <v>28532.232368421053</v>
      </c>
      <c r="G21" s="84">
        <f t="shared" si="0"/>
        <v>2608.071973684211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51324.25230769231</v>
      </c>
      <c r="E22" s="83">
        <f>E18*I22</f>
        <v>46632.809230769235</v>
      </c>
      <c r="F22" s="83">
        <f>D22</f>
        <v>51324.25230769231</v>
      </c>
      <c r="G22" s="84">
        <f t="shared" si="0"/>
        <v>4691.443076923075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26</v>
      </c>
      <c r="C23" s="97">
        <v>0</v>
      </c>
      <c r="D23" s="77">
        <v>0</v>
      </c>
      <c r="E23" s="77">
        <v>0</v>
      </c>
      <c r="F23" s="76">
        <f aca="true" t="shared" si="1" ref="F23:F32">D23</f>
        <v>0</v>
      </c>
      <c r="G23" s="77">
        <f t="shared" si="0"/>
        <v>0</v>
      </c>
    </row>
    <row r="24" spans="1:7" s="39" customFormat="1" ht="14.2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0"/>
        <v>0</v>
      </c>
    </row>
    <row r="25" spans="1:7" s="39" customFormat="1" ht="14.25">
      <c r="A25" s="41" t="s">
        <v>29</v>
      </c>
      <c r="B25" s="141" t="s">
        <v>163</v>
      </c>
      <c r="C25" s="142" t="s">
        <v>333</v>
      </c>
      <c r="D25" s="77">
        <v>0</v>
      </c>
      <c r="E25" s="77">
        <v>0</v>
      </c>
      <c r="F25" s="76">
        <f t="shared" si="1"/>
        <v>0</v>
      </c>
      <c r="G25" s="77">
        <f t="shared" si="0"/>
        <v>0</v>
      </c>
    </row>
    <row r="26" spans="1:7" s="39" customFormat="1" ht="14.25">
      <c r="A26" s="41" t="s">
        <v>31</v>
      </c>
      <c r="B26" s="141" t="s">
        <v>116</v>
      </c>
      <c r="C26" s="97">
        <v>1.86</v>
      </c>
      <c r="D26" s="77">
        <v>28643.28</v>
      </c>
      <c r="E26" s="77">
        <v>28531.62</v>
      </c>
      <c r="F26" s="76">
        <f>F42</f>
        <v>285.3162</v>
      </c>
      <c r="G26" s="77">
        <f t="shared" si="0"/>
        <v>111.65999999999985</v>
      </c>
    </row>
    <row r="27" spans="1:7" s="39" customFormat="1" ht="14.25">
      <c r="A27" s="41" t="s">
        <v>33</v>
      </c>
      <c r="B27" s="135" t="s">
        <v>34</v>
      </c>
      <c r="C27" s="46">
        <v>0</v>
      </c>
      <c r="D27" s="77">
        <v>0</v>
      </c>
      <c r="E27" s="77">
        <v>1.63</v>
      </c>
      <c r="F27" s="76">
        <f>D27</f>
        <v>0</v>
      </c>
      <c r="G27" s="77">
        <f>E27-D27</f>
        <v>1.63</v>
      </c>
    </row>
    <row r="28" spans="1:7" s="39" customFormat="1" ht="14.25">
      <c r="A28" s="41" t="s">
        <v>35</v>
      </c>
      <c r="B28" s="135" t="s">
        <v>36</v>
      </c>
      <c r="C28" s="97"/>
      <c r="D28" s="77">
        <f>SUM(D29:D32)</f>
        <v>680980.24</v>
      </c>
      <c r="E28" s="77">
        <f>SUM(E29:E32)</f>
        <v>665870.5700000001</v>
      </c>
      <c r="F28" s="76">
        <f t="shared" si="1"/>
        <v>680980.24</v>
      </c>
      <c r="G28" s="77">
        <f>SUM(G29:G32)</f>
        <v>15109.670000000024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7248.64</v>
      </c>
      <c r="E29" s="84">
        <v>7210.12</v>
      </c>
      <c r="F29" s="83">
        <f>D29</f>
        <v>7248.64</v>
      </c>
      <c r="G29" s="84">
        <f>D29-E29</f>
        <v>38.52000000000044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162093.51</v>
      </c>
      <c r="E30" s="84">
        <v>153009.11</v>
      </c>
      <c r="F30" s="83">
        <f t="shared" si="1"/>
        <v>162093.51</v>
      </c>
      <c r="G30" s="84">
        <f>D30-E30</f>
        <v>9084.400000000023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3">
        <f t="shared" si="1"/>
        <v>0</v>
      </c>
      <c r="G31" s="84">
        <f>D31-E31</f>
        <v>0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511638.09</v>
      </c>
      <c r="E32" s="84">
        <v>505651.34</v>
      </c>
      <c r="F32" s="83">
        <f t="shared" si="1"/>
        <v>511638.09</v>
      </c>
      <c r="G32" s="84">
        <f>D32-E32</f>
        <v>5986.75</v>
      </c>
    </row>
    <row r="33" spans="1:10" s="102" customFormat="1" ht="18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145">
        <v>166860.25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15589.809999999998</v>
      </c>
      <c r="H36" s="62"/>
      <c r="I36" s="62"/>
    </row>
    <row r="37" spans="1:13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111479.10740000001</v>
      </c>
      <c r="H37" s="62"/>
      <c r="I37" s="62"/>
      <c r="M37" s="146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6.25" customHeight="1">
      <c r="A39" s="377" t="s">
        <v>44</v>
      </c>
      <c r="B39" s="377"/>
      <c r="C39" s="377"/>
      <c r="D39" s="377"/>
      <c r="E39" s="377"/>
      <c r="F39" s="377"/>
      <c r="G39" s="377"/>
      <c r="H39" s="377"/>
      <c r="I39" s="377"/>
    </row>
    <row r="40" ht="6" customHeight="1"/>
    <row r="41" spans="1:7" s="172" customFormat="1" ht="28.5" customHeight="1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19"/>
    </row>
    <row r="42" spans="1:7" s="115" customFormat="1" ht="12.75" customHeight="1">
      <c r="A42" s="109" t="s">
        <v>47</v>
      </c>
      <c r="B42" s="403" t="s">
        <v>111</v>
      </c>
      <c r="C42" s="425"/>
      <c r="D42" s="111"/>
      <c r="E42" s="111"/>
      <c r="F42" s="430">
        <f>SUM(F43:L44)</f>
        <v>285.3162</v>
      </c>
      <c r="G42" s="419"/>
    </row>
    <row r="43" spans="1:7" s="115" customFormat="1" ht="12.75" customHeight="1">
      <c r="A43" s="34" t="s">
        <v>16</v>
      </c>
      <c r="B43" s="196"/>
      <c r="C43" s="110"/>
      <c r="D43" s="195"/>
      <c r="E43" s="195"/>
      <c r="F43" s="429"/>
      <c r="G43" s="429"/>
    </row>
    <row r="44" spans="1:7" ht="12.75" customHeight="1">
      <c r="A44" s="34" t="s">
        <v>18</v>
      </c>
      <c r="B44" s="382" t="s">
        <v>191</v>
      </c>
      <c r="C44" s="384"/>
      <c r="D44" s="119"/>
      <c r="E44" s="119"/>
      <c r="F44" s="429">
        <f>E26*1%</f>
        <v>285.3162</v>
      </c>
      <c r="G44" s="429"/>
    </row>
    <row r="45" spans="1:7" s="67" customFormat="1" ht="13.5" customHeight="1">
      <c r="A45" s="169"/>
      <c r="B45" s="180"/>
      <c r="C45" s="180"/>
      <c r="D45" s="180"/>
      <c r="E45" s="180"/>
      <c r="F45" s="181"/>
      <c r="G45" s="181"/>
    </row>
    <row r="46" spans="1:6" s="67" customFormat="1" ht="15">
      <c r="A46" s="67" t="s">
        <v>55</v>
      </c>
      <c r="C46" s="67" t="s">
        <v>49</v>
      </c>
      <c r="F46" s="67" t="s">
        <v>90</v>
      </c>
    </row>
    <row r="47" s="67" customFormat="1" ht="15">
      <c r="F47" s="127" t="s">
        <v>438</v>
      </c>
    </row>
    <row r="48" s="67" customFormat="1" ht="15">
      <c r="A48" s="67" t="s">
        <v>50</v>
      </c>
    </row>
    <row r="49" spans="1:7" ht="15">
      <c r="A49" s="67"/>
      <c r="B49" s="67"/>
      <c r="C49" s="129" t="s">
        <v>51</v>
      </c>
      <c r="D49" s="67"/>
      <c r="E49" s="129"/>
      <c r="F49" s="129"/>
      <c r="G49" s="129"/>
    </row>
    <row r="50" spans="1:7" ht="15">
      <c r="A50" s="67"/>
      <c r="B50" s="67"/>
      <c r="C50" s="67"/>
      <c r="D50" s="67"/>
      <c r="E50" s="67"/>
      <c r="F50" s="67"/>
      <c r="G50" s="67"/>
    </row>
    <row r="51" spans="1:7" ht="15">
      <c r="A51" s="67"/>
      <c r="B51" s="67"/>
      <c r="C51" s="67"/>
      <c r="D51" s="67"/>
      <c r="E51" s="67"/>
      <c r="F51" s="67"/>
      <c r="G51" s="67"/>
    </row>
  </sheetData>
  <sheetProtection/>
  <mergeCells count="17">
    <mergeCell ref="B42:C42"/>
    <mergeCell ref="A11:I11"/>
    <mergeCell ref="A12:I12"/>
    <mergeCell ref="A39:I39"/>
    <mergeCell ref="A34:C34"/>
    <mergeCell ref="F41:G41"/>
    <mergeCell ref="A33:F33"/>
    <mergeCell ref="F44:G44"/>
    <mergeCell ref="B44:C44"/>
    <mergeCell ref="A1:I1"/>
    <mergeCell ref="A2:I2"/>
    <mergeCell ref="A5:I5"/>
    <mergeCell ref="A10:I10"/>
    <mergeCell ref="A3:K3"/>
    <mergeCell ref="F43:G43"/>
    <mergeCell ref="F42:G42"/>
    <mergeCell ref="B41:C4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2"/>
  <sheetViews>
    <sheetView zoomScalePageLayoutView="0" workbookViewId="0" topLeftCell="A37">
      <selection activeCell="F45" sqref="F45:G45"/>
    </sheetView>
  </sheetViews>
  <sheetFormatPr defaultColWidth="9.140625" defaultRowHeight="15" outlineLevelCol="1"/>
  <cols>
    <col min="1" max="1" width="4.7109375" style="35" customWidth="1"/>
    <col min="2" max="2" width="40.28125" style="35" customWidth="1"/>
    <col min="3" max="3" width="13.00390625" style="35" customWidth="1"/>
    <col min="4" max="4" width="13.421875" style="35" customWidth="1"/>
    <col min="5" max="5" width="12.7109375" style="35" customWidth="1"/>
    <col min="6" max="6" width="12.42187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2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7.5" customHeight="1"/>
    <row r="7" spans="1:6" s="67" customFormat="1" ht="16.5" customHeight="1">
      <c r="A7" s="67" t="s">
        <v>2</v>
      </c>
      <c r="F7" s="127" t="s">
        <v>68</v>
      </c>
    </row>
    <row r="8" spans="1:10" s="67" customFormat="1" ht="15">
      <c r="A8" s="67" t="s">
        <v>3</v>
      </c>
      <c r="F8" s="295" t="s">
        <v>441</v>
      </c>
      <c r="I8" s="202">
        <v>42.3</v>
      </c>
      <c r="J8" s="202">
        <v>1698.3</v>
      </c>
    </row>
    <row r="9" s="67" customFormat="1" ht="9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'[1]Чичерина 8'!$G$36</f>
        <v>-64908.700000000004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'[1]Чичерина 8'!$G$37</f>
        <v>49516.61239999999</v>
      </c>
      <c r="H15" s="62"/>
      <c r="I15" s="62"/>
    </row>
    <row r="16" s="67" customFormat="1" ht="9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29.25">
      <c r="A18" s="75" t="s">
        <v>14</v>
      </c>
      <c r="B18" s="41" t="s">
        <v>15</v>
      </c>
      <c r="C18" s="136">
        <f>C19+C20+C21+C22</f>
        <v>9.879999999999999</v>
      </c>
      <c r="D18" s="76">
        <v>220452.73</v>
      </c>
      <c r="E18" s="76">
        <v>200316.46</v>
      </c>
      <c r="F18" s="76">
        <f>D18</f>
        <v>220452.73</v>
      </c>
      <c r="G18" s="77">
        <f>D18-E18</f>
        <v>20136.27000000002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77203.08155870446</v>
      </c>
      <c r="E19" s="83">
        <f>E18*I19</f>
        <v>70151.31089068826</v>
      </c>
      <c r="F19" s="83">
        <f>D19</f>
        <v>77203.08155870446</v>
      </c>
      <c r="G19" s="84">
        <f>D19-E19</f>
        <v>7051.770668016208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37709.01960526316</v>
      </c>
      <c r="E20" s="83">
        <f>E18*I20</f>
        <v>34264.65763157895</v>
      </c>
      <c r="F20" s="83">
        <f>D20</f>
        <v>37709.01960526316</v>
      </c>
      <c r="G20" s="84">
        <f>D20-E20</f>
        <v>3444.3619736842084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37709.01960526316</v>
      </c>
      <c r="E21" s="83">
        <f>E18*I21</f>
        <v>34264.65763157895</v>
      </c>
      <c r="F21" s="83">
        <f>D21</f>
        <v>37709.01960526316</v>
      </c>
      <c r="G21" s="84">
        <f>D21-E21</f>
        <v>3444.3619736842084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67831.60923076923</v>
      </c>
      <c r="E22" s="83">
        <f>E18*I22</f>
        <v>61635.833846153844</v>
      </c>
      <c r="F22" s="83">
        <f>D22</f>
        <v>67831.60923076923</v>
      </c>
      <c r="G22" s="84">
        <f>D22-E22</f>
        <v>6195.775384615386</v>
      </c>
      <c r="H22" s="146">
        <f>C22</f>
        <v>3.04</v>
      </c>
      <c r="I22" s="67">
        <f>H22/H18</f>
        <v>0.3076923076923077</v>
      </c>
    </row>
    <row r="23" spans="1:7" s="39" customFormat="1" ht="25.5">
      <c r="A23" s="41" t="s">
        <v>25</v>
      </c>
      <c r="B23" s="141" t="s">
        <v>443</v>
      </c>
      <c r="C23" s="97" t="s">
        <v>442</v>
      </c>
      <c r="D23" s="77">
        <v>21600</v>
      </c>
      <c r="E23" s="77">
        <v>20403.13</v>
      </c>
      <c r="F23" s="76">
        <f aca="true" t="shared" si="0" ref="F23:F32">D23</f>
        <v>21600</v>
      </c>
      <c r="G23" s="77">
        <f aca="true" t="shared" si="1" ref="G23:G32">D23-E23</f>
        <v>1196.869999999999</v>
      </c>
    </row>
    <row r="24" spans="1:7" s="39" customFormat="1" ht="14.2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1" t="s">
        <v>163</v>
      </c>
      <c r="C25" s="142">
        <v>1902.11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7" s="39" customFormat="1" ht="14.25">
      <c r="A26" s="41" t="s">
        <v>31</v>
      </c>
      <c r="B26" s="141" t="s">
        <v>116</v>
      </c>
      <c r="C26" s="97">
        <v>1.86</v>
      </c>
      <c r="D26" s="77">
        <v>38771.44</v>
      </c>
      <c r="E26" s="77">
        <v>37358.33</v>
      </c>
      <c r="F26" s="76">
        <f>F41</f>
        <v>109443.29329999999</v>
      </c>
      <c r="G26" s="77">
        <f t="shared" si="1"/>
        <v>1413.1100000000006</v>
      </c>
    </row>
    <row r="27" spans="1:7" s="39" customFormat="1" ht="14.25">
      <c r="A27" s="41" t="s">
        <v>33</v>
      </c>
      <c r="B27" s="135" t="s">
        <v>34</v>
      </c>
      <c r="C27" s="46">
        <v>0</v>
      </c>
      <c r="D27" s="77">
        <v>0</v>
      </c>
      <c r="E27" s="77"/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5" t="s">
        <v>36</v>
      </c>
      <c r="C28" s="97"/>
      <c r="D28" s="77">
        <f>SUM(D29:D32)</f>
        <v>728312.56</v>
      </c>
      <c r="E28" s="77">
        <f>SUM(E29:E32)</f>
        <v>709477.3400000001</v>
      </c>
      <c r="F28" s="76">
        <f t="shared" si="0"/>
        <v>728312.56</v>
      </c>
      <c r="G28" s="77">
        <f t="shared" si="1"/>
        <v>18835.219999999972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19427.03</v>
      </c>
      <c r="E29" s="84">
        <v>19117.26</v>
      </c>
      <c r="F29" s="83">
        <f>D29</f>
        <v>19427.03</v>
      </c>
      <c r="G29" s="84">
        <f t="shared" si="1"/>
        <v>309.77000000000044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192559.96</v>
      </c>
      <c r="E30" s="84">
        <v>186967.69</v>
      </c>
      <c r="F30" s="83">
        <f t="shared" si="0"/>
        <v>192559.96</v>
      </c>
      <c r="G30" s="84">
        <f t="shared" si="1"/>
        <v>5592.2699999999895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516325.57</v>
      </c>
      <c r="E32" s="84">
        <v>503392.39</v>
      </c>
      <c r="F32" s="83">
        <f t="shared" si="0"/>
        <v>516325.57</v>
      </c>
      <c r="G32" s="84">
        <f t="shared" si="1"/>
        <v>12933.179999999993</v>
      </c>
    </row>
    <row r="33" spans="1:10" s="102" customFormat="1" ht="28.5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360176.3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-64908.700000000004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-22568.35089999999</v>
      </c>
      <c r="H37" s="62"/>
      <c r="I37" s="62"/>
    </row>
    <row r="38" spans="1:9" ht="25.5" customHeight="1">
      <c r="A38" s="377" t="s">
        <v>44</v>
      </c>
      <c r="B38" s="377"/>
      <c r="C38" s="377"/>
      <c r="D38" s="377"/>
      <c r="E38" s="377"/>
      <c r="F38" s="377"/>
      <c r="G38" s="377"/>
      <c r="H38" s="377"/>
      <c r="I38" s="377"/>
    </row>
    <row r="39" ht="5.25" customHeight="1"/>
    <row r="40" spans="1:7" s="172" customFormat="1" ht="28.5" customHeight="1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401" t="s">
        <v>46</v>
      </c>
      <c r="G40" s="419"/>
    </row>
    <row r="41" spans="1:7" s="115" customFormat="1" ht="12" customHeight="1">
      <c r="A41" s="109" t="s">
        <v>47</v>
      </c>
      <c r="B41" s="403" t="s">
        <v>111</v>
      </c>
      <c r="C41" s="425"/>
      <c r="D41" s="111"/>
      <c r="E41" s="111"/>
      <c r="F41" s="430">
        <f>SUM(F42:G47)</f>
        <v>109443.29329999999</v>
      </c>
      <c r="G41" s="419"/>
    </row>
    <row r="42" spans="1:7" s="115" customFormat="1" ht="12" customHeight="1">
      <c r="A42" s="34" t="s">
        <v>16</v>
      </c>
      <c r="B42" s="413" t="s">
        <v>667</v>
      </c>
      <c r="C42" s="423"/>
      <c r="D42" s="351" t="s">
        <v>168</v>
      </c>
      <c r="E42" s="351">
        <v>5.7</v>
      </c>
      <c r="F42" s="459">
        <v>48811.75</v>
      </c>
      <c r="G42" s="460"/>
    </row>
    <row r="43" spans="1:7" s="115" customFormat="1" ht="12" customHeight="1">
      <c r="A43" s="34" t="s">
        <v>18</v>
      </c>
      <c r="B43" s="413" t="s">
        <v>547</v>
      </c>
      <c r="C43" s="423"/>
      <c r="D43" s="351" t="s">
        <v>548</v>
      </c>
      <c r="E43" s="351">
        <v>1</v>
      </c>
      <c r="F43" s="459">
        <v>440</v>
      </c>
      <c r="G43" s="460"/>
    </row>
    <row r="44" spans="1:7" s="115" customFormat="1" ht="16.5" customHeight="1">
      <c r="A44" s="34" t="s">
        <v>20</v>
      </c>
      <c r="B44" s="413" t="s">
        <v>669</v>
      </c>
      <c r="C44" s="423"/>
      <c r="D44" s="351" t="s">
        <v>229</v>
      </c>
      <c r="E44" s="351">
        <v>0.16</v>
      </c>
      <c r="F44" s="459">
        <v>28908.96</v>
      </c>
      <c r="G44" s="460"/>
    </row>
    <row r="45" spans="1:7" s="115" customFormat="1" ht="12" customHeight="1">
      <c r="A45" s="34" t="s">
        <v>22</v>
      </c>
      <c r="B45" s="382" t="s">
        <v>170</v>
      </c>
      <c r="C45" s="384"/>
      <c r="D45" s="195"/>
      <c r="E45" s="195"/>
      <c r="F45" s="461">
        <v>18909</v>
      </c>
      <c r="G45" s="462"/>
    </row>
    <row r="46" spans="1:7" s="115" customFormat="1" ht="12" customHeight="1">
      <c r="A46" s="34" t="s">
        <v>24</v>
      </c>
      <c r="B46" s="382" t="s">
        <v>694</v>
      </c>
      <c r="C46" s="384"/>
      <c r="D46" s="195"/>
      <c r="E46" s="195"/>
      <c r="F46" s="457">
        <v>12000</v>
      </c>
      <c r="G46" s="458"/>
    </row>
    <row r="47" spans="1:7" ht="14.25" customHeight="1">
      <c r="A47" s="34" t="s">
        <v>103</v>
      </c>
      <c r="B47" s="382" t="s">
        <v>191</v>
      </c>
      <c r="C47" s="384"/>
      <c r="D47" s="119"/>
      <c r="E47" s="119"/>
      <c r="F47" s="457">
        <f>E26*1%</f>
        <v>373.5833</v>
      </c>
      <c r="G47" s="458"/>
    </row>
    <row r="48" spans="2:5" ht="15">
      <c r="B48" s="155"/>
      <c r="C48" s="155"/>
      <c r="D48" s="155"/>
      <c r="E48" s="155"/>
    </row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3.5" customHeight="1">
      <c r="F50" s="127" t="s">
        <v>438</v>
      </c>
    </row>
    <row r="51" s="67" customFormat="1" ht="15">
      <c r="A51" s="67" t="s">
        <v>50</v>
      </c>
    </row>
    <row r="52" spans="3:7" s="67" customFormat="1" ht="15">
      <c r="C52" s="129" t="s">
        <v>51</v>
      </c>
      <c r="E52" s="129"/>
      <c r="F52" s="129"/>
      <c r="G52" s="129"/>
    </row>
    <row r="53" s="67" customFormat="1" ht="15"/>
    <row r="54" s="67" customFormat="1" ht="15"/>
  </sheetData>
  <sheetProtection/>
  <mergeCells count="26">
    <mergeCell ref="A12:I12"/>
    <mergeCell ref="F43:G43"/>
    <mergeCell ref="F44:G44"/>
    <mergeCell ref="F45:G45"/>
    <mergeCell ref="B43:C43"/>
    <mergeCell ref="B44:C44"/>
    <mergeCell ref="B45:C45"/>
    <mergeCell ref="F41:G41"/>
    <mergeCell ref="A33:F33"/>
    <mergeCell ref="F42:G42"/>
    <mergeCell ref="A1:I1"/>
    <mergeCell ref="A2:I2"/>
    <mergeCell ref="A5:I5"/>
    <mergeCell ref="A10:I10"/>
    <mergeCell ref="A3:K3"/>
    <mergeCell ref="A11:I11"/>
    <mergeCell ref="F47:G47"/>
    <mergeCell ref="B47:C47"/>
    <mergeCell ref="B40:C40"/>
    <mergeCell ref="B41:C41"/>
    <mergeCell ref="F40:G40"/>
    <mergeCell ref="A34:C34"/>
    <mergeCell ref="B42:C42"/>
    <mergeCell ref="A38:I38"/>
    <mergeCell ref="B46:C46"/>
    <mergeCell ref="F46:G46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4"/>
  <sheetViews>
    <sheetView zoomScalePageLayoutView="0" workbookViewId="0" topLeftCell="A39">
      <selection activeCell="F47" sqref="F47:G47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28125" style="35" customWidth="1"/>
    <col min="4" max="5" width="13.140625" style="35" bestFit="1" customWidth="1"/>
    <col min="6" max="6" width="14.00390625" style="35" customWidth="1"/>
    <col min="7" max="7" width="13.57421875" style="35" customWidth="1"/>
    <col min="8" max="8" width="10.8515625" style="35" hidden="1" customWidth="1" outlineLevel="1"/>
    <col min="9" max="9" width="13.2812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7.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6" customHeight="1"/>
    <row r="7" spans="1:6" s="67" customFormat="1" ht="16.5" customHeight="1">
      <c r="A7" s="67" t="s">
        <v>2</v>
      </c>
      <c r="F7" s="127" t="s">
        <v>125</v>
      </c>
    </row>
    <row r="8" spans="1:6" s="67" customFormat="1" ht="15">
      <c r="A8" s="67" t="s">
        <v>3</v>
      </c>
      <c r="F8" s="295" t="s">
        <v>335</v>
      </c>
    </row>
    <row r="9" s="67" customFormat="1" ht="6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'[1]Чичерина 16 к. 1'!$G$36</f>
        <v>-5989.219999999999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'[1]Чичерина 16 к. 1'!$G$37</f>
        <v>-319825.4152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28.5">
      <c r="A18" s="75" t="s">
        <v>14</v>
      </c>
      <c r="B18" s="41" t="s">
        <v>15</v>
      </c>
      <c r="C18" s="136">
        <f>C19+C20+C21+C22</f>
        <v>9.879999999999999</v>
      </c>
      <c r="D18" s="76">
        <v>419028.47</v>
      </c>
      <c r="E18" s="76">
        <v>395846.83</v>
      </c>
      <c r="F18" s="76">
        <f>D18</f>
        <v>419028.47</v>
      </c>
      <c r="G18" s="77">
        <f>D18-E18</f>
        <v>23181.639999999956</v>
      </c>
      <c r="H18" s="16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146744.78807692308</v>
      </c>
      <c r="E19" s="83">
        <f>E18*I19</f>
        <v>138626.521437247</v>
      </c>
      <c r="F19" s="83">
        <f>D19</f>
        <v>146744.78807692308</v>
      </c>
      <c r="G19" s="84">
        <f>D19-E19</f>
        <v>8118.266639676091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71675.9225</v>
      </c>
      <c r="E20" s="83">
        <f>E18*I20</f>
        <v>67710.64197368422</v>
      </c>
      <c r="F20" s="83">
        <f>D20</f>
        <v>71675.9225</v>
      </c>
      <c r="G20" s="84">
        <f>D20-E20</f>
        <v>3965.280526315779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71675.9225</v>
      </c>
      <c r="E21" s="83">
        <f>E18*I21</f>
        <v>67710.64197368422</v>
      </c>
      <c r="F21" s="83">
        <f>D21</f>
        <v>71675.9225</v>
      </c>
      <c r="G21" s="84">
        <f>D21-E21</f>
        <v>3965.280526315779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128931.83692307692</v>
      </c>
      <c r="E22" s="83">
        <f>E18*I22</f>
        <v>121799.02461538462</v>
      </c>
      <c r="F22" s="83">
        <f>D22</f>
        <v>128931.83692307692</v>
      </c>
      <c r="G22" s="84">
        <f>D22-E22</f>
        <v>7132.812307692293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26</v>
      </c>
      <c r="C23" s="97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1" t="s">
        <v>163</v>
      </c>
      <c r="C25" s="142" t="s">
        <v>333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1" t="s">
        <v>116</v>
      </c>
      <c r="C26" s="97">
        <v>1.86</v>
      </c>
      <c r="D26" s="77">
        <v>76127.52</v>
      </c>
      <c r="E26" s="77">
        <v>74526.44</v>
      </c>
      <c r="F26" s="76">
        <f>F42</f>
        <v>92267.6044</v>
      </c>
      <c r="G26" s="77">
        <f t="shared" si="1"/>
        <v>1601.0800000000017</v>
      </c>
      <c r="M26" s="182"/>
    </row>
    <row r="27" spans="1:7" s="39" customFormat="1" ht="14.25">
      <c r="A27" s="41" t="s">
        <v>33</v>
      </c>
      <c r="B27" s="135" t="s">
        <v>34</v>
      </c>
      <c r="C27" s="46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5" t="s">
        <v>36</v>
      </c>
      <c r="C28" s="97"/>
      <c r="D28" s="77">
        <f>SUM(D29:D32)</f>
        <v>1659082.54</v>
      </c>
      <c r="E28" s="77">
        <f>SUM(E29:E32)</f>
        <v>1654396.34</v>
      </c>
      <c r="F28" s="76">
        <f t="shared" si="0"/>
        <v>1659082.54</v>
      </c>
      <c r="G28" s="77">
        <f t="shared" si="1"/>
        <v>4686.199999999953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31814.35</v>
      </c>
      <c r="E29" s="84">
        <v>31133.88</v>
      </c>
      <c r="F29" s="83">
        <f>D29</f>
        <v>31814.35</v>
      </c>
      <c r="G29" s="84">
        <f t="shared" si="1"/>
        <v>680.4699999999975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474273.65</v>
      </c>
      <c r="E30" s="84">
        <v>485891.88</v>
      </c>
      <c r="F30" s="83">
        <f t="shared" si="0"/>
        <v>474273.65</v>
      </c>
      <c r="G30" s="84">
        <f t="shared" si="1"/>
        <v>-11618.229999999981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1152994.54</v>
      </c>
      <c r="E32" s="84">
        <v>1137370.58</v>
      </c>
      <c r="F32" s="83">
        <f t="shared" si="0"/>
        <v>1152994.54</v>
      </c>
      <c r="G32" s="84">
        <f t="shared" si="1"/>
        <v>15623.959999999963</v>
      </c>
    </row>
    <row r="33" spans="1:10" s="102" customFormat="1" ht="18.75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974821.81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-5989.219999999999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-337566.5796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8.5" customHeight="1">
      <c r="A39" s="463" t="s">
        <v>44</v>
      </c>
      <c r="B39" s="463"/>
      <c r="C39" s="463"/>
      <c r="D39" s="463"/>
      <c r="E39" s="463"/>
      <c r="F39" s="463"/>
      <c r="G39" s="463"/>
      <c r="H39" s="463"/>
      <c r="I39" s="463"/>
    </row>
    <row r="40" ht="5.25" customHeight="1"/>
    <row r="41" spans="1:7" s="172" customFormat="1" ht="28.5" customHeight="1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20"/>
    </row>
    <row r="42" spans="1:7" s="115" customFormat="1" ht="12.75" customHeight="1">
      <c r="A42" s="109" t="s">
        <v>47</v>
      </c>
      <c r="B42" s="403" t="s">
        <v>111</v>
      </c>
      <c r="C42" s="425"/>
      <c r="D42" s="111"/>
      <c r="E42" s="111"/>
      <c r="F42" s="430">
        <f>SUM(F43:G48)</f>
        <v>92267.6044</v>
      </c>
      <c r="G42" s="419"/>
    </row>
    <row r="43" spans="1:7" ht="12.75" customHeight="1">
      <c r="A43" s="34" t="s">
        <v>16</v>
      </c>
      <c r="B43" s="413" t="s">
        <v>668</v>
      </c>
      <c r="C43" s="423"/>
      <c r="D43" s="349" t="s">
        <v>228</v>
      </c>
      <c r="E43" s="370">
        <v>0.34</v>
      </c>
      <c r="F43" s="451">
        <v>24635.24</v>
      </c>
      <c r="G43" s="452"/>
    </row>
    <row r="44" spans="1:7" ht="12.75" customHeight="1">
      <c r="A44" s="34" t="s">
        <v>18</v>
      </c>
      <c r="B44" s="413" t="s">
        <v>170</v>
      </c>
      <c r="C44" s="423"/>
      <c r="D44" s="349" t="s">
        <v>247</v>
      </c>
      <c r="E44" s="370">
        <v>0.08</v>
      </c>
      <c r="F44" s="451">
        <v>36386.18</v>
      </c>
      <c r="G44" s="452"/>
    </row>
    <row r="45" spans="1:7" ht="12.75" customHeight="1">
      <c r="A45" s="34" t="s">
        <v>20</v>
      </c>
      <c r="B45" s="413" t="s">
        <v>665</v>
      </c>
      <c r="C45" s="423"/>
      <c r="D45" s="349" t="s">
        <v>166</v>
      </c>
      <c r="E45" s="370">
        <v>15</v>
      </c>
      <c r="F45" s="451">
        <v>10121</v>
      </c>
      <c r="G45" s="452"/>
    </row>
    <row r="46" spans="1:7" ht="12.75" customHeight="1">
      <c r="A46" s="34" t="s">
        <v>22</v>
      </c>
      <c r="B46" s="413" t="s">
        <v>667</v>
      </c>
      <c r="C46" s="423"/>
      <c r="D46" s="349" t="s">
        <v>168</v>
      </c>
      <c r="E46" s="370">
        <v>2.2</v>
      </c>
      <c r="F46" s="451">
        <v>18839.92</v>
      </c>
      <c r="G46" s="452"/>
    </row>
    <row r="47" spans="1:7" ht="12.75" customHeight="1">
      <c r="A47" s="34" t="s">
        <v>24</v>
      </c>
      <c r="B47" s="413" t="s">
        <v>547</v>
      </c>
      <c r="C47" s="423"/>
      <c r="D47" s="349" t="s">
        <v>548</v>
      </c>
      <c r="E47" s="353">
        <v>3.5</v>
      </c>
      <c r="F47" s="431">
        <v>1540</v>
      </c>
      <c r="G47" s="431"/>
    </row>
    <row r="48" spans="1:7" ht="13.5" customHeight="1">
      <c r="A48" s="34" t="s">
        <v>103</v>
      </c>
      <c r="B48" s="440" t="s">
        <v>191</v>
      </c>
      <c r="C48" s="441"/>
      <c r="D48" s="125"/>
      <c r="E48" s="125"/>
      <c r="F48" s="446">
        <f>E26*1%</f>
        <v>745.2644</v>
      </c>
      <c r="G48" s="447"/>
    </row>
    <row r="49" spans="1:7" ht="13.5" customHeight="1">
      <c r="A49" s="169"/>
      <c r="B49" s="93"/>
      <c r="C49" s="93"/>
      <c r="D49" s="93"/>
      <c r="E49" s="93"/>
      <c r="F49" s="181"/>
      <c r="G49" s="181"/>
    </row>
    <row r="50" s="67" customFormat="1" ht="15"/>
    <row r="51" spans="1:6" s="67" customFormat="1" ht="15" customHeight="1">
      <c r="A51" s="67" t="s">
        <v>55</v>
      </c>
      <c r="C51" s="67" t="s">
        <v>49</v>
      </c>
      <c r="F51" s="67" t="s">
        <v>90</v>
      </c>
    </row>
    <row r="52" s="67" customFormat="1" ht="13.5" customHeight="1">
      <c r="F52" s="127" t="s">
        <v>438</v>
      </c>
    </row>
    <row r="53" s="67" customFormat="1" ht="15">
      <c r="A53" s="67" t="s">
        <v>50</v>
      </c>
    </row>
    <row r="54" spans="3:7" s="67" customFormat="1" ht="11.25" customHeight="1">
      <c r="C54" s="129" t="s">
        <v>51</v>
      </c>
      <c r="E54" s="129"/>
      <c r="F54" s="129"/>
      <c r="G54" s="129"/>
    </row>
    <row r="55" s="67" customFormat="1" ht="15"/>
    <row r="56" s="67" customFormat="1" ht="15"/>
  </sheetData>
  <sheetProtection/>
  <mergeCells count="26">
    <mergeCell ref="F48:G48"/>
    <mergeCell ref="B48:C48"/>
    <mergeCell ref="F47:G47"/>
    <mergeCell ref="B43:C43"/>
    <mergeCell ref="B47:C47"/>
    <mergeCell ref="B42:C42"/>
    <mergeCell ref="B44:C44"/>
    <mergeCell ref="B45:C45"/>
    <mergeCell ref="F44:G44"/>
    <mergeCell ref="F45:G45"/>
    <mergeCell ref="F43:G43"/>
    <mergeCell ref="F42:G42"/>
    <mergeCell ref="A39:I39"/>
    <mergeCell ref="F41:G41"/>
    <mergeCell ref="B41:C41"/>
    <mergeCell ref="A33:F33"/>
    <mergeCell ref="B46:C46"/>
    <mergeCell ref="F46:G46"/>
    <mergeCell ref="A1:I1"/>
    <mergeCell ref="A2:I2"/>
    <mergeCell ref="A5:I5"/>
    <mergeCell ref="A10:I10"/>
    <mergeCell ref="A3:K3"/>
    <mergeCell ref="A11:I11"/>
    <mergeCell ref="A12:I12"/>
    <mergeCell ref="A34:C34"/>
  </mergeCells>
  <printOptions/>
  <pageMargins left="0" right="0" top="0" bottom="0" header="0.31496062992125984" footer="0.31496062992125984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4"/>
  <sheetViews>
    <sheetView zoomScaleSheetLayoutView="100" zoomScalePageLayoutView="0" workbookViewId="0" topLeftCell="A37">
      <selection activeCell="A48" sqref="A48"/>
    </sheetView>
  </sheetViews>
  <sheetFormatPr defaultColWidth="9.140625" defaultRowHeight="15" outlineLevelCol="1"/>
  <cols>
    <col min="1" max="1" width="4.7109375" style="35" customWidth="1"/>
    <col min="2" max="2" width="45.57421875" style="35" customWidth="1"/>
    <col min="3" max="3" width="12.8515625" style="35" customWidth="1"/>
    <col min="4" max="4" width="13.140625" style="35" bestFit="1" customWidth="1"/>
    <col min="5" max="5" width="12.7109375" style="35" customWidth="1"/>
    <col min="6" max="6" width="15.281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7109375" style="35" bestFit="1" customWidth="1"/>
    <col min="15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4.2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4.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3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4.5" customHeight="1"/>
    <row r="7" spans="1:6" s="67" customFormat="1" ht="16.5" customHeight="1">
      <c r="A7" s="67" t="s">
        <v>2</v>
      </c>
      <c r="F7" s="127" t="s">
        <v>69</v>
      </c>
    </row>
    <row r="8" spans="1:10" s="67" customFormat="1" ht="15">
      <c r="A8" s="67" t="s">
        <v>3</v>
      </c>
      <c r="F8" s="295" t="s">
        <v>336</v>
      </c>
      <c r="I8" s="202">
        <v>92.4</v>
      </c>
      <c r="J8" s="67">
        <v>4481.29</v>
      </c>
    </row>
    <row r="9" s="67" customFormat="1" ht="6.7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'[1]пер.Чичерина 24'!$G$37</f>
        <v>-39261.51999999999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'[1]пер.Чичерина 24'!$G$38</f>
        <v>29464.870500000005</v>
      </c>
      <c r="H15" s="62"/>
      <c r="I15" s="62"/>
    </row>
    <row r="16" s="67" customFormat="1" ht="7.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29.25">
      <c r="A18" s="75" t="s">
        <v>14</v>
      </c>
      <c r="B18" s="41" t="s">
        <v>15</v>
      </c>
      <c r="C18" s="136">
        <f>C19+C20+C21+C22</f>
        <v>9.879999999999999</v>
      </c>
      <c r="D18" s="76">
        <v>546953.09</v>
      </c>
      <c r="E18" s="76">
        <v>529376.49</v>
      </c>
      <c r="F18" s="76">
        <f>D18</f>
        <v>546953.09</v>
      </c>
      <c r="G18" s="77">
        <f>D18-E18</f>
        <v>17576.599999999977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191544.30074898785</v>
      </c>
      <c r="E19" s="83">
        <f>E18*I19</f>
        <v>185388.93273279353</v>
      </c>
      <c r="F19" s="83">
        <f>D19</f>
        <v>191544.30074898785</v>
      </c>
      <c r="G19" s="84">
        <f>D19-E19</f>
        <v>6155.368016194319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93557.76539473684</v>
      </c>
      <c r="E20" s="83">
        <f>E18*I20</f>
        <v>90551.24171052632</v>
      </c>
      <c r="F20" s="83">
        <f>D20</f>
        <v>93557.76539473684</v>
      </c>
      <c r="G20" s="84">
        <f>D20-E20</f>
        <v>3006.5236842105223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93557.76539473684</v>
      </c>
      <c r="E21" s="83">
        <f>E18*I21</f>
        <v>90551.24171052632</v>
      </c>
      <c r="F21" s="83">
        <f>D21</f>
        <v>93557.76539473684</v>
      </c>
      <c r="G21" s="84">
        <f>D21-E21</f>
        <v>3006.5236842105223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168293.25846153847</v>
      </c>
      <c r="E22" s="83">
        <f>E18*I22</f>
        <v>162885.07384615386</v>
      </c>
      <c r="F22" s="83">
        <f>D22</f>
        <v>168293.25846153847</v>
      </c>
      <c r="G22" s="84">
        <f>D22-E22</f>
        <v>5408.184615384613</v>
      </c>
      <c r="H22" s="146">
        <f>C22</f>
        <v>3.04</v>
      </c>
      <c r="I22" s="67">
        <f>H22/H18</f>
        <v>0.3076923076923077</v>
      </c>
    </row>
    <row r="23" spans="1:7" ht="15">
      <c r="A23" s="41" t="s">
        <v>25</v>
      </c>
      <c r="B23" s="141" t="s">
        <v>279</v>
      </c>
      <c r="C23" s="97">
        <v>0</v>
      </c>
      <c r="D23" s="77">
        <v>0</v>
      </c>
      <c r="E23" s="77">
        <v>505.47</v>
      </c>
      <c r="F23" s="77">
        <v>0</v>
      </c>
      <c r="G23" s="77">
        <f aca="true" t="shared" si="0" ref="G23:G33">D23-E23</f>
        <v>-505.47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1" t="s">
        <v>163</v>
      </c>
      <c r="C25" s="142" t="s">
        <v>333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14" ht="15">
      <c r="A26" s="41" t="s">
        <v>31</v>
      </c>
      <c r="B26" s="141" t="s">
        <v>116</v>
      </c>
      <c r="C26" s="97">
        <v>1.86</v>
      </c>
      <c r="D26" s="77">
        <v>100022.4</v>
      </c>
      <c r="E26" s="77">
        <v>99314.15</v>
      </c>
      <c r="F26" s="87">
        <f>F43</f>
        <v>12460.441499999999</v>
      </c>
      <c r="G26" s="77">
        <f t="shared" si="0"/>
        <v>708.25</v>
      </c>
      <c r="M26" s="160"/>
      <c r="N26" s="160"/>
    </row>
    <row r="27" spans="1:7" ht="15">
      <c r="A27" s="41" t="s">
        <v>33</v>
      </c>
      <c r="B27" s="135" t="s">
        <v>34</v>
      </c>
      <c r="C27" s="46">
        <v>0</v>
      </c>
      <c r="D27" s="77">
        <v>0</v>
      </c>
      <c r="E27" s="77">
        <v>0.01</v>
      </c>
      <c r="F27" s="87">
        <v>0</v>
      </c>
      <c r="G27" s="77">
        <f t="shared" si="0"/>
        <v>-0.01</v>
      </c>
    </row>
    <row r="28" spans="1:7" ht="15">
      <c r="A28" s="41" t="s">
        <v>35</v>
      </c>
      <c r="B28" s="135" t="s">
        <v>36</v>
      </c>
      <c r="C28" s="97"/>
      <c r="D28" s="77">
        <f>SUM(D29:D32)</f>
        <v>1976264.5</v>
      </c>
      <c r="E28" s="77">
        <f>SUM(E29:E32)</f>
        <v>1903603.3399999999</v>
      </c>
      <c r="F28" s="77">
        <f>SUM(F29:F32)</f>
        <v>1976264.5</v>
      </c>
      <c r="G28" s="77">
        <f t="shared" si="0"/>
        <v>72661.16000000015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24105.15</v>
      </c>
      <c r="E29" s="84">
        <v>22712.6</v>
      </c>
      <c r="F29" s="84">
        <f>D29</f>
        <v>24105.15</v>
      </c>
      <c r="G29" s="84">
        <f t="shared" si="0"/>
        <v>1392.550000000003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639138.42</v>
      </c>
      <c r="E30" s="84">
        <v>606295.26</v>
      </c>
      <c r="F30" s="84">
        <f>D30</f>
        <v>639138.42</v>
      </c>
      <c r="G30" s="84">
        <f t="shared" si="0"/>
        <v>32843.16000000003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10" s="102" customFormat="1" ht="15">
      <c r="A32" s="34" t="s">
        <v>41</v>
      </c>
      <c r="B32" s="34" t="s">
        <v>43</v>
      </c>
      <c r="C32" s="289" t="s">
        <v>407</v>
      </c>
      <c r="D32" s="84">
        <v>1313020.93</v>
      </c>
      <c r="E32" s="84">
        <v>1274595.48</v>
      </c>
      <c r="F32" s="84">
        <f>D32</f>
        <v>1313020.93</v>
      </c>
      <c r="G32" s="84">
        <f t="shared" si="0"/>
        <v>38425.44999999995</v>
      </c>
      <c r="H32" s="101"/>
      <c r="I32" s="101"/>
      <c r="J32" s="101"/>
    </row>
    <row r="33" spans="1:10" s="102" customFormat="1" ht="15">
      <c r="A33" s="192" t="s">
        <v>303</v>
      </c>
      <c r="B33" s="333" t="s">
        <v>308</v>
      </c>
      <c r="C33" s="289"/>
      <c r="D33" s="291">
        <v>18000</v>
      </c>
      <c r="E33" s="291">
        <v>16177</v>
      </c>
      <c r="F33" s="320"/>
      <c r="G33" s="291">
        <f t="shared" si="0"/>
        <v>1823</v>
      </c>
      <c r="H33" s="101"/>
      <c r="I33" s="101"/>
      <c r="J33" s="101"/>
    </row>
    <row r="34" spans="1:10" s="102" customFormat="1" ht="15.75" thickBot="1">
      <c r="A34" s="379" t="s">
        <v>328</v>
      </c>
      <c r="B34" s="380"/>
      <c r="C34" s="380"/>
      <c r="D34" s="381"/>
      <c r="E34" s="381"/>
      <c r="F34" s="381"/>
      <c r="G34" s="171"/>
      <c r="H34" s="101"/>
      <c r="I34" s="101"/>
      <c r="J34" s="101"/>
    </row>
    <row r="35" spans="1:9" s="67" customFormat="1" ht="15.75" thickBot="1">
      <c r="A35" s="391" t="s">
        <v>410</v>
      </c>
      <c r="B35" s="392"/>
      <c r="C35" s="392"/>
      <c r="D35" s="65">
        <v>833024.15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412</v>
      </c>
      <c r="B37" s="64"/>
      <c r="C37" s="64"/>
      <c r="D37" s="69"/>
      <c r="E37" s="70"/>
      <c r="F37" s="70"/>
      <c r="G37" s="145">
        <f>G14+E27-F27</f>
        <v>-39261.50999999999</v>
      </c>
      <c r="H37" s="62"/>
      <c r="I37" s="62"/>
    </row>
    <row r="38" spans="1:9" s="67" customFormat="1" ht="15.75" thickBot="1">
      <c r="A38" s="63" t="s">
        <v>413</v>
      </c>
      <c r="B38" s="64"/>
      <c r="C38" s="64"/>
      <c r="D38" s="69"/>
      <c r="E38" s="70"/>
      <c r="F38" s="70"/>
      <c r="G38" s="145">
        <f>G15+E26-F26</f>
        <v>116318.579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ht="25.5" customHeight="1">
      <c r="A40" s="463" t="s">
        <v>44</v>
      </c>
      <c r="B40" s="463"/>
      <c r="C40" s="463"/>
      <c r="D40" s="463"/>
      <c r="E40" s="463"/>
      <c r="F40" s="463"/>
      <c r="G40" s="463"/>
      <c r="H40" s="463"/>
      <c r="I40" s="463"/>
    </row>
    <row r="41" ht="4.5" customHeight="1"/>
    <row r="42" spans="1:7" s="172" customFormat="1" ht="28.5" customHeight="1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</row>
    <row r="43" spans="1:7" s="115" customFormat="1" ht="12.75" customHeight="1">
      <c r="A43" s="109" t="s">
        <v>47</v>
      </c>
      <c r="B43" s="403" t="s">
        <v>111</v>
      </c>
      <c r="C43" s="425"/>
      <c r="D43" s="111"/>
      <c r="E43" s="111"/>
      <c r="F43" s="430">
        <f>SUM(F44:L47)</f>
        <v>12460.441499999999</v>
      </c>
      <c r="G43" s="419"/>
    </row>
    <row r="44" spans="1:7" ht="27.75" customHeight="1">
      <c r="A44" s="34" t="s">
        <v>16</v>
      </c>
      <c r="B44" s="413" t="s">
        <v>665</v>
      </c>
      <c r="C44" s="423"/>
      <c r="D44" s="349"/>
      <c r="E44" s="349" t="s">
        <v>239</v>
      </c>
      <c r="F44" s="451">
        <v>3580</v>
      </c>
      <c r="G44" s="452"/>
    </row>
    <row r="45" spans="1:7" ht="12.75" customHeight="1">
      <c r="A45" s="34" t="s">
        <v>18</v>
      </c>
      <c r="B45" s="413" t="s">
        <v>666</v>
      </c>
      <c r="C45" s="423"/>
      <c r="D45" s="349" t="s">
        <v>166</v>
      </c>
      <c r="E45" s="349">
        <v>1</v>
      </c>
      <c r="F45" s="431">
        <v>7887.3</v>
      </c>
      <c r="G45" s="431"/>
    </row>
    <row r="46" spans="1:7" ht="12.75" customHeight="1">
      <c r="A46" s="34" t="s">
        <v>20</v>
      </c>
      <c r="B46" s="382"/>
      <c r="C46" s="384"/>
      <c r="D46" s="119"/>
      <c r="E46" s="122"/>
      <c r="F46" s="446"/>
      <c r="G46" s="447"/>
    </row>
    <row r="47" spans="1:7" ht="15">
      <c r="A47" s="34" t="s">
        <v>22</v>
      </c>
      <c r="B47" s="149" t="s">
        <v>191</v>
      </c>
      <c r="C47" s="150"/>
      <c r="D47" s="119"/>
      <c r="E47" s="119"/>
      <c r="F47" s="429">
        <f>E26*1%</f>
        <v>993.1415</v>
      </c>
      <c r="G47" s="429"/>
    </row>
    <row r="48" s="67" customFormat="1" ht="13.5" customHeight="1"/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2" customHeight="1">
      <c r="F50" s="127" t="s">
        <v>438</v>
      </c>
    </row>
    <row r="51" s="67" customFormat="1" ht="15">
      <c r="A51" s="67" t="s">
        <v>50</v>
      </c>
    </row>
    <row r="52" spans="3:7" s="67" customFormat="1" ht="15">
      <c r="C52" s="129" t="s">
        <v>51</v>
      </c>
      <c r="E52" s="129"/>
      <c r="F52" s="129"/>
      <c r="G52" s="129"/>
    </row>
    <row r="53" spans="1:7" ht="15">
      <c r="A53" s="67"/>
      <c r="B53" s="67"/>
      <c r="C53" s="67"/>
      <c r="D53" s="67"/>
      <c r="E53" s="67"/>
      <c r="F53" s="67"/>
      <c r="G53" s="67"/>
    </row>
    <row r="54" spans="1:7" ht="15">
      <c r="A54" s="67"/>
      <c r="B54" s="67"/>
      <c r="C54" s="67"/>
      <c r="D54" s="67"/>
      <c r="E54" s="67"/>
      <c r="F54" s="67"/>
      <c r="G54" s="67"/>
    </row>
  </sheetData>
  <sheetProtection/>
  <mergeCells count="21">
    <mergeCell ref="A12:I12"/>
    <mergeCell ref="A35:C35"/>
    <mergeCell ref="A11:I11"/>
    <mergeCell ref="A1:I1"/>
    <mergeCell ref="A2:I2"/>
    <mergeCell ref="A5:I5"/>
    <mergeCell ref="A10:I10"/>
    <mergeCell ref="A3:K3"/>
    <mergeCell ref="A34:F34"/>
    <mergeCell ref="F47:G47"/>
    <mergeCell ref="F44:G44"/>
    <mergeCell ref="F42:G42"/>
    <mergeCell ref="F43:G43"/>
    <mergeCell ref="F46:G46"/>
    <mergeCell ref="F45:G45"/>
    <mergeCell ref="A40:I40"/>
    <mergeCell ref="B42:C42"/>
    <mergeCell ref="B43:C43"/>
    <mergeCell ref="B44:C44"/>
    <mergeCell ref="B45:C45"/>
    <mergeCell ref="B46:C46"/>
  </mergeCells>
  <printOptions/>
  <pageMargins left="0" right="0" top="0" bottom="0" header="0.31496062992125984" footer="0.31496062992125984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zoomScalePageLayoutView="0" workbookViewId="0" topLeftCell="A38">
      <selection activeCell="A46" sqref="A46"/>
    </sheetView>
  </sheetViews>
  <sheetFormatPr defaultColWidth="9.140625" defaultRowHeight="15" outlineLevelCol="1"/>
  <cols>
    <col min="1" max="1" width="4.7109375" style="35" customWidth="1"/>
    <col min="2" max="2" width="47.28125" style="35" customWidth="1"/>
    <col min="3" max="3" width="12.8515625" style="35" customWidth="1"/>
    <col min="4" max="4" width="13.57421875" style="35" customWidth="1"/>
    <col min="5" max="5" width="15.57421875" style="35" customWidth="1"/>
    <col min="6" max="6" width="14.574218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6.75" customHeight="1"/>
    <row r="7" spans="1:6" s="67" customFormat="1" ht="16.5" customHeight="1">
      <c r="A7" s="67" t="s">
        <v>2</v>
      </c>
      <c r="F7" s="127" t="s">
        <v>70</v>
      </c>
    </row>
    <row r="8" spans="1:6" s="67" customFormat="1" ht="15">
      <c r="A8" s="67" t="s">
        <v>3</v>
      </c>
      <c r="F8" s="295" t="s">
        <v>337</v>
      </c>
    </row>
    <row r="9" s="67" customFormat="1" ht="6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'[1]пер. Чичерина 28'!$G$35</f>
        <v>99543.7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'[1]пер. Чичерина 28'!$G$36</f>
        <v>-1043.843899999978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29.25">
      <c r="A18" s="75" t="s">
        <v>14</v>
      </c>
      <c r="B18" s="41" t="s">
        <v>15</v>
      </c>
      <c r="C18" s="136">
        <f>C19+C20+C21+C22</f>
        <v>9.879999999999999</v>
      </c>
      <c r="D18" s="76">
        <v>370120.68</v>
      </c>
      <c r="E18" s="76">
        <v>357230.4</v>
      </c>
      <c r="F18" s="76">
        <f>D18</f>
        <v>370120.68</v>
      </c>
      <c r="G18" s="77">
        <f>D18-E18</f>
        <v>12890.27999999997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129617.16121457491</v>
      </c>
      <c r="E19" s="83">
        <f>E18*I19</f>
        <v>125102.95384615386</v>
      </c>
      <c r="F19" s="83">
        <f>D19</f>
        <v>129617.16121457491</v>
      </c>
      <c r="G19" s="84">
        <f>D19-E19</f>
        <v>4514.207368421048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63310.11631578948</v>
      </c>
      <c r="E20" s="83">
        <f>E18*I20</f>
        <v>61105.200000000004</v>
      </c>
      <c r="F20" s="83">
        <f>D20</f>
        <v>63310.11631578948</v>
      </c>
      <c r="G20" s="84">
        <f>D20-E20</f>
        <v>2204.9163157894727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63310.11631578948</v>
      </c>
      <c r="E21" s="83">
        <f>E18*I21</f>
        <v>61105.200000000004</v>
      </c>
      <c r="F21" s="83">
        <f>D21</f>
        <v>63310.11631578948</v>
      </c>
      <c r="G21" s="84">
        <f>D21-E21</f>
        <v>2204.9163157894727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113883.28615384616</v>
      </c>
      <c r="E22" s="83">
        <f>E18*I22</f>
        <v>109917.04615384617</v>
      </c>
      <c r="F22" s="83">
        <f>D22</f>
        <v>113883.28615384616</v>
      </c>
      <c r="G22" s="84">
        <f>D22-E22</f>
        <v>3966.2399999999907</v>
      </c>
      <c r="H22" s="146">
        <f>C22</f>
        <v>3.04</v>
      </c>
      <c r="I22" s="67">
        <f>H22/H18</f>
        <v>0.3076923076923077</v>
      </c>
    </row>
    <row r="23" spans="1:7" ht="15">
      <c r="A23" s="41" t="s">
        <v>25</v>
      </c>
      <c r="B23" s="141" t="s">
        <v>26</v>
      </c>
      <c r="C23" s="97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1" t="s">
        <v>163</v>
      </c>
      <c r="C25" s="142"/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1" t="s">
        <v>116</v>
      </c>
      <c r="C26" s="97">
        <v>1.86</v>
      </c>
      <c r="D26" s="77">
        <v>69678.84</v>
      </c>
      <c r="E26" s="77">
        <v>67230.47</v>
      </c>
      <c r="F26" s="87">
        <f>F41</f>
        <v>45672.3047</v>
      </c>
      <c r="G26" s="77">
        <f t="shared" si="0"/>
        <v>2448.3699999999953</v>
      </c>
    </row>
    <row r="27" spans="1:7" ht="15">
      <c r="A27" s="41" t="s">
        <v>33</v>
      </c>
      <c r="B27" s="135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5" t="s">
        <v>36</v>
      </c>
      <c r="C28" s="97"/>
      <c r="D28" s="77">
        <f>SUM(D29:D32)</f>
        <v>1658961.67</v>
      </c>
      <c r="E28" s="77">
        <f>SUM(E29:E32)</f>
        <v>1600838.6700000002</v>
      </c>
      <c r="F28" s="77">
        <f>SUM(F29:F32)</f>
        <v>1658961.67</v>
      </c>
      <c r="G28" s="77">
        <f t="shared" si="0"/>
        <v>58122.99999999977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36860.26</v>
      </c>
      <c r="E29" s="84">
        <v>35417.73</v>
      </c>
      <c r="F29" s="84">
        <f>D29</f>
        <v>36860.26</v>
      </c>
      <c r="G29" s="84">
        <f t="shared" si="0"/>
        <v>1442.5299999999988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408641.66</v>
      </c>
      <c r="E30" s="84">
        <v>399602.34</v>
      </c>
      <c r="F30" s="84">
        <f>D30</f>
        <v>408641.66</v>
      </c>
      <c r="G30" s="84">
        <f t="shared" si="0"/>
        <v>9039.319999999949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9" ht="15.75" thickBot="1">
      <c r="A32" s="34" t="s">
        <v>41</v>
      </c>
      <c r="B32" s="34" t="s">
        <v>43</v>
      </c>
      <c r="C32" s="289" t="s">
        <v>407</v>
      </c>
      <c r="D32" s="84">
        <v>1213459.75</v>
      </c>
      <c r="E32" s="84">
        <v>1165818.6</v>
      </c>
      <c r="F32" s="84">
        <f>D32</f>
        <v>1213459.75</v>
      </c>
      <c r="G32" s="84">
        <f t="shared" si="0"/>
        <v>47641.14999999991</v>
      </c>
      <c r="H32" s="101"/>
      <c r="I32" s="101"/>
    </row>
    <row r="33" spans="1:10" s="102" customFormat="1" ht="14.25" thickBot="1">
      <c r="A33" s="391" t="s">
        <v>329</v>
      </c>
      <c r="B33" s="392"/>
      <c r="C33" s="392"/>
      <c r="D33" s="65">
        <v>1019697.03</v>
      </c>
      <c r="E33" s="66"/>
      <c r="F33" s="66"/>
      <c r="G33" s="66"/>
      <c r="H33" s="62"/>
      <c r="I33" s="62"/>
      <c r="J33" s="101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412</v>
      </c>
      <c r="B35" s="64"/>
      <c r="C35" s="64"/>
      <c r="D35" s="69"/>
      <c r="E35" s="70"/>
      <c r="F35" s="70"/>
      <c r="G35" s="145">
        <f>G14+E27-F27</f>
        <v>99543.7</v>
      </c>
      <c r="H35" s="62"/>
      <c r="I35" s="62"/>
    </row>
    <row r="36" spans="1:9" s="67" customFormat="1" ht="15.75" thickBot="1">
      <c r="A36" s="63" t="s">
        <v>413</v>
      </c>
      <c r="B36" s="64"/>
      <c r="C36" s="64"/>
      <c r="D36" s="69"/>
      <c r="E36" s="70"/>
      <c r="F36" s="70"/>
      <c r="G36" s="145">
        <f>G15+E26-F26</f>
        <v>20514.321400000023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35.25" customHeight="1">
      <c r="A38" s="463" t="s">
        <v>44</v>
      </c>
      <c r="B38" s="463"/>
      <c r="C38" s="463"/>
      <c r="D38" s="463"/>
      <c r="E38" s="463"/>
      <c r="F38" s="463"/>
      <c r="G38" s="463"/>
      <c r="H38" s="463"/>
      <c r="I38" s="463"/>
    </row>
    <row r="39" ht="27" customHeight="1"/>
    <row r="40" spans="1:9" ht="28.5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401" t="s">
        <v>46</v>
      </c>
      <c r="G40" s="420"/>
      <c r="H40" s="172"/>
      <c r="I40" s="172"/>
    </row>
    <row r="41" spans="1:9" s="172" customFormat="1" ht="15">
      <c r="A41" s="109" t="s">
        <v>47</v>
      </c>
      <c r="B41" s="403" t="s">
        <v>111</v>
      </c>
      <c r="C41" s="425"/>
      <c r="D41" s="111"/>
      <c r="E41" s="111"/>
      <c r="F41" s="430">
        <f>SUM(F42:L45)</f>
        <v>45672.3047</v>
      </c>
      <c r="G41" s="419"/>
      <c r="H41" s="115"/>
      <c r="I41" s="115"/>
    </row>
    <row r="42" spans="1:9" s="115" customFormat="1" ht="12.75" customHeight="1">
      <c r="A42" s="34" t="s">
        <v>16</v>
      </c>
      <c r="B42" s="382" t="s">
        <v>694</v>
      </c>
      <c r="C42" s="432"/>
      <c r="D42" s="119"/>
      <c r="E42" s="153"/>
      <c r="F42" s="424">
        <v>38000</v>
      </c>
      <c r="G42" s="424"/>
      <c r="H42" s="35"/>
      <c r="I42" s="35"/>
    </row>
    <row r="43" spans="1:9" s="115" customFormat="1" ht="12.75" customHeight="1">
      <c r="A43" s="34" t="s">
        <v>18</v>
      </c>
      <c r="B43" s="382" t="s">
        <v>700</v>
      </c>
      <c r="C43" s="432"/>
      <c r="D43" s="119"/>
      <c r="E43" s="153"/>
      <c r="F43" s="424">
        <v>7000</v>
      </c>
      <c r="G43" s="424"/>
      <c r="H43" s="35"/>
      <c r="I43" s="35"/>
    </row>
    <row r="44" spans="1:9" s="115" customFormat="1" ht="12.75" customHeight="1">
      <c r="A44" s="34" t="s">
        <v>20</v>
      </c>
      <c r="B44" s="117"/>
      <c r="C44" s="334"/>
      <c r="D44" s="119"/>
      <c r="E44" s="153"/>
      <c r="F44" s="424"/>
      <c r="G44" s="424"/>
      <c r="H44" s="35"/>
      <c r="I44" s="35"/>
    </row>
    <row r="45" spans="1:9" s="67" customFormat="1" ht="15">
      <c r="A45" s="34" t="s">
        <v>22</v>
      </c>
      <c r="B45" s="149" t="s">
        <v>191</v>
      </c>
      <c r="C45" s="150"/>
      <c r="D45" s="119"/>
      <c r="E45" s="119"/>
      <c r="F45" s="429">
        <f>E26*1%</f>
        <v>672.3047</v>
      </c>
      <c r="G45" s="429"/>
      <c r="H45" s="35"/>
      <c r="I45" s="35"/>
    </row>
    <row r="46" s="67" customFormat="1" ht="13.5" customHeight="1"/>
    <row r="47" s="67" customFormat="1" ht="13.5" customHeight="1"/>
    <row r="48" spans="1:6" s="67" customFormat="1" ht="13.5" customHeight="1">
      <c r="A48" s="67" t="s">
        <v>55</v>
      </c>
      <c r="C48" s="67" t="s">
        <v>49</v>
      </c>
      <c r="F48" s="67" t="s">
        <v>90</v>
      </c>
    </row>
    <row r="49" s="67" customFormat="1" ht="13.5" customHeight="1">
      <c r="F49" s="127" t="s">
        <v>438</v>
      </c>
    </row>
    <row r="50" s="67" customFormat="1" ht="15">
      <c r="A50" s="67" t="s">
        <v>50</v>
      </c>
    </row>
    <row r="51" spans="3:7" s="67" customFormat="1" ht="15">
      <c r="C51" s="129" t="s">
        <v>51</v>
      </c>
      <c r="E51" s="129"/>
      <c r="F51" s="129"/>
      <c r="G51" s="129"/>
    </row>
    <row r="52" s="67" customFormat="1" ht="15"/>
    <row r="53" spans="1:7" s="67" customFormat="1" ht="15">
      <c r="A53" s="35"/>
      <c r="B53" s="35"/>
      <c r="C53" s="35"/>
      <c r="D53" s="35"/>
      <c r="E53" s="35"/>
      <c r="F53" s="35"/>
      <c r="G53" s="35"/>
    </row>
  </sheetData>
  <sheetProtection/>
  <mergeCells count="19">
    <mergeCell ref="F45:G45"/>
    <mergeCell ref="A11:I11"/>
    <mergeCell ref="A12:I12"/>
    <mergeCell ref="F41:G41"/>
    <mergeCell ref="B42:C42"/>
    <mergeCell ref="B43:C43"/>
    <mergeCell ref="F43:G43"/>
    <mergeCell ref="B41:C41"/>
    <mergeCell ref="F42:G42"/>
    <mergeCell ref="A1:I1"/>
    <mergeCell ref="A2:I2"/>
    <mergeCell ref="A5:I5"/>
    <mergeCell ref="A10:I10"/>
    <mergeCell ref="A3:K3"/>
    <mergeCell ref="F44:G44"/>
    <mergeCell ref="A33:C33"/>
    <mergeCell ref="A38:I38"/>
    <mergeCell ref="B40:C40"/>
    <mergeCell ref="F40:G40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="96" zoomScaleNormal="96" zoomScalePageLayoutView="0" workbookViewId="0" topLeftCell="A33">
      <selection activeCell="A47" sqref="A47"/>
    </sheetView>
  </sheetViews>
  <sheetFormatPr defaultColWidth="9.140625" defaultRowHeight="15" outlineLevelCol="1"/>
  <cols>
    <col min="1" max="1" width="5.28125" style="35" customWidth="1"/>
    <col min="2" max="2" width="43.140625" style="35" customWidth="1"/>
    <col min="3" max="3" width="13.28125" style="160" customWidth="1"/>
    <col min="4" max="4" width="13.8515625" style="160" customWidth="1"/>
    <col min="5" max="5" width="13.7109375" style="160" customWidth="1"/>
    <col min="6" max="6" width="14.57421875" style="160" customWidth="1"/>
    <col min="7" max="7" width="15.00390625" style="160" customWidth="1"/>
    <col min="8" max="8" width="10.8515625" style="35" hidden="1" customWidth="1" outlineLevel="1"/>
    <col min="9" max="9" width="13.421875" style="35" hidden="1" customWidth="1" outlineLevel="1"/>
    <col min="10" max="11" width="9.140625" style="35" hidden="1" customWidth="1" outlineLevel="1"/>
    <col min="12" max="12" width="9.140625" style="35" hidden="1" customWidth="1" outlineLevel="1" collapsed="1"/>
    <col min="13" max="13" width="10.0039062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.7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3" customHeight="1">
      <c r="A4" s="158"/>
      <c r="B4" s="158"/>
      <c r="C4" s="159"/>
      <c r="D4" s="159"/>
      <c r="E4" s="159"/>
      <c r="F4" s="159"/>
      <c r="G4" s="159"/>
      <c r="H4" s="158"/>
      <c r="I4" s="158"/>
    </row>
    <row r="5" spans="1:9" ht="15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" customHeight="1"/>
    <row r="7" spans="1:7" s="67" customFormat="1" ht="16.5" customHeight="1">
      <c r="A7" s="67" t="s">
        <v>2</v>
      </c>
      <c r="C7" s="146"/>
      <c r="D7" s="146"/>
      <c r="E7" s="146"/>
      <c r="F7" s="161" t="s">
        <v>56</v>
      </c>
      <c r="G7" s="146"/>
    </row>
    <row r="8" spans="1:7" s="67" customFormat="1" ht="15">
      <c r="A8" s="67" t="s">
        <v>3</v>
      </c>
      <c r="C8" s="146"/>
      <c r="D8" s="146"/>
      <c r="E8" s="146"/>
      <c r="F8" s="161" t="s">
        <v>411</v>
      </c>
      <c r="G8" s="146"/>
    </row>
    <row r="9" spans="3:7" s="67" customFormat="1" ht="4.5" customHeight="1">
      <c r="C9" s="146"/>
      <c r="D9" s="146"/>
      <c r="E9" s="146"/>
      <c r="F9" s="146"/>
      <c r="G9" s="146"/>
    </row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164"/>
      <c r="D13" s="163"/>
      <c r="E13" s="163"/>
      <c r="F13" s="163"/>
      <c r="G13" s="163"/>
      <c r="H13" s="62"/>
      <c r="I13" s="62"/>
    </row>
    <row r="14" spans="1:9" s="67" customFormat="1" ht="15.75" thickBot="1">
      <c r="A14" s="63" t="s">
        <v>330</v>
      </c>
      <c r="B14" s="64"/>
      <c r="C14" s="165"/>
      <c r="D14" s="166"/>
      <c r="E14" s="166"/>
      <c r="F14" s="166"/>
      <c r="G14" s="162">
        <f>'[1]Пионерская 16'!$G$34</f>
        <v>34925.52</v>
      </c>
      <c r="H14" s="62"/>
      <c r="I14" s="62"/>
    </row>
    <row r="15" spans="1:9" s="67" customFormat="1" ht="15.75" thickBot="1">
      <c r="A15" s="63" t="s">
        <v>331</v>
      </c>
      <c r="B15" s="64"/>
      <c r="C15" s="165"/>
      <c r="D15" s="166"/>
      <c r="E15" s="166"/>
      <c r="F15" s="166"/>
      <c r="G15" s="162">
        <f>'[1]Пионерская 16'!$G$35</f>
        <v>337507.85839999997</v>
      </c>
      <c r="H15" s="62"/>
      <c r="I15" s="62"/>
    </row>
    <row r="16" spans="3:7" s="67" customFormat="1" ht="8.25" customHeight="1">
      <c r="C16" s="146"/>
      <c r="D16" s="146"/>
      <c r="E16" s="146"/>
      <c r="F16" s="146"/>
      <c r="G16" s="146"/>
    </row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14.25">
      <c r="A18" s="75" t="s">
        <v>14</v>
      </c>
      <c r="B18" s="135" t="s">
        <v>15</v>
      </c>
      <c r="C18" s="136">
        <f>C19+C20+C21+C22</f>
        <v>9.879999999999999</v>
      </c>
      <c r="D18" s="76">
        <v>573123.52</v>
      </c>
      <c r="E18" s="76">
        <v>558754.5</v>
      </c>
      <c r="F18" s="76">
        <f aca="true" t="shared" si="0" ref="F18:F23">D18</f>
        <v>573123.52</v>
      </c>
      <c r="G18" s="77">
        <f>D18-E18</f>
        <v>14369.020000000019</v>
      </c>
      <c r="H18" s="167">
        <f>C18</f>
        <v>9.879999999999999</v>
      </c>
    </row>
    <row r="19" spans="1:9" s="67" customFormat="1" ht="15">
      <c r="A19" s="81" t="s">
        <v>16</v>
      </c>
      <c r="B19" s="140" t="s">
        <v>17</v>
      </c>
      <c r="C19" s="99">
        <v>3.46</v>
      </c>
      <c r="D19" s="83">
        <f>D18*I19</f>
        <v>200709.24890688263</v>
      </c>
      <c r="E19" s="83">
        <f>E18*I19</f>
        <v>195677.18319838058</v>
      </c>
      <c r="F19" s="83">
        <f t="shared" si="0"/>
        <v>200709.24890688263</v>
      </c>
      <c r="G19" s="84">
        <f aca="true" t="shared" si="1" ref="G19:G29">D19-E19</f>
        <v>5032.06570850205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140" t="s">
        <v>19</v>
      </c>
      <c r="C20" s="99">
        <v>1.69</v>
      </c>
      <c r="D20" s="83">
        <f>D18*I20</f>
        <v>98034.28631578948</v>
      </c>
      <c r="E20" s="83">
        <f>E18*I20</f>
        <v>95576.42763157895</v>
      </c>
      <c r="F20" s="83">
        <f t="shared" si="0"/>
        <v>98034.28631578948</v>
      </c>
      <c r="G20" s="84">
        <f t="shared" si="1"/>
        <v>2457.8586842105287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40" t="s">
        <v>21</v>
      </c>
      <c r="C21" s="99">
        <v>1.69</v>
      </c>
      <c r="D21" s="83">
        <f>D18*I21</f>
        <v>98034.28631578948</v>
      </c>
      <c r="E21" s="83">
        <f>E18*I21</f>
        <v>95576.42763157895</v>
      </c>
      <c r="F21" s="83">
        <f t="shared" si="0"/>
        <v>98034.28631578948</v>
      </c>
      <c r="G21" s="84">
        <f t="shared" si="1"/>
        <v>2457.8586842105287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40" t="s">
        <v>23</v>
      </c>
      <c r="C22" s="99">
        <v>3.04</v>
      </c>
      <c r="D22" s="83">
        <f>D18*I22</f>
        <v>176345.69846153847</v>
      </c>
      <c r="E22" s="83">
        <f>E18*I22</f>
        <v>171924.46153846156</v>
      </c>
      <c r="F22" s="83">
        <f t="shared" si="0"/>
        <v>176345.69846153847</v>
      </c>
      <c r="G22" s="84">
        <f t="shared" si="1"/>
        <v>4421.236923076911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163</v>
      </c>
      <c r="C23" s="142">
        <v>1902.11</v>
      </c>
      <c r="D23" s="87"/>
      <c r="E23" s="87"/>
      <c r="F23" s="87">
        <f t="shared" si="0"/>
        <v>0</v>
      </c>
      <c r="G23" s="77">
        <f t="shared" si="1"/>
        <v>0</v>
      </c>
    </row>
    <row r="24" spans="1:7" s="39" customFormat="1" ht="14.25">
      <c r="A24" s="41" t="s">
        <v>27</v>
      </c>
      <c r="B24" s="141" t="s">
        <v>116</v>
      </c>
      <c r="C24" s="142">
        <v>1.86</v>
      </c>
      <c r="D24" s="87">
        <v>105164.76</v>
      </c>
      <c r="E24" s="87">
        <v>105163.15</v>
      </c>
      <c r="F24" s="87">
        <f>F40</f>
        <v>30675.8215</v>
      </c>
      <c r="G24" s="77">
        <f t="shared" si="1"/>
        <v>1.610000000000582</v>
      </c>
    </row>
    <row r="25" spans="1:7" s="39" customFormat="1" ht="14.25">
      <c r="A25" s="41" t="s">
        <v>29</v>
      </c>
      <c r="B25" s="135" t="s">
        <v>36</v>
      </c>
      <c r="C25" s="136"/>
      <c r="D25" s="77">
        <f>SUM(D26:D29)</f>
        <v>2166461.11</v>
      </c>
      <c r="E25" s="77">
        <f>SUM(E26:E29)</f>
        <v>2163606.5100000002</v>
      </c>
      <c r="F25" s="77">
        <f>SUM(F26:F29)</f>
        <v>2166461.11</v>
      </c>
      <c r="G25" s="77">
        <f t="shared" si="1"/>
        <v>2854.5999999996275</v>
      </c>
    </row>
    <row r="26" spans="1:7" ht="15">
      <c r="A26" s="34" t="s">
        <v>194</v>
      </c>
      <c r="B26" s="34" t="s">
        <v>167</v>
      </c>
      <c r="C26" s="289" t="s">
        <v>406</v>
      </c>
      <c r="D26" s="291">
        <v>50660.08</v>
      </c>
      <c r="E26" s="291">
        <v>50555.27</v>
      </c>
      <c r="F26" s="291">
        <f>D26</f>
        <v>50660.08</v>
      </c>
      <c r="G26" s="84">
        <f t="shared" si="1"/>
        <v>104.81000000000495</v>
      </c>
    </row>
    <row r="27" spans="1:7" ht="15">
      <c r="A27" s="34" t="s">
        <v>195</v>
      </c>
      <c r="B27" s="34" t="s">
        <v>138</v>
      </c>
      <c r="C27" s="289" t="s">
        <v>409</v>
      </c>
      <c r="D27" s="291">
        <v>704140.87</v>
      </c>
      <c r="E27" s="291">
        <v>712475.38</v>
      </c>
      <c r="F27" s="291">
        <f>D27</f>
        <v>704140.87</v>
      </c>
      <c r="G27" s="84">
        <f t="shared" si="1"/>
        <v>-8334.51000000001</v>
      </c>
    </row>
    <row r="28" spans="1:7" ht="15">
      <c r="A28" s="34" t="s">
        <v>196</v>
      </c>
      <c r="B28" s="140" t="s">
        <v>421</v>
      </c>
      <c r="C28" s="290">
        <v>0</v>
      </c>
      <c r="D28" s="291">
        <v>0</v>
      </c>
      <c r="E28" s="291">
        <v>0</v>
      </c>
      <c r="F28" s="291">
        <f>D28</f>
        <v>0</v>
      </c>
      <c r="G28" s="84">
        <f t="shared" si="1"/>
        <v>0</v>
      </c>
    </row>
    <row r="29" spans="1:7" ht="15">
      <c r="A29" s="34" t="s">
        <v>197</v>
      </c>
      <c r="B29" s="140" t="s">
        <v>43</v>
      </c>
      <c r="C29" s="289" t="s">
        <v>407</v>
      </c>
      <c r="D29" s="291">
        <v>1411660.16</v>
      </c>
      <c r="E29" s="291">
        <v>1400575.86</v>
      </c>
      <c r="F29" s="291">
        <f>D29</f>
        <v>1411660.16</v>
      </c>
      <c r="G29" s="84">
        <f t="shared" si="1"/>
        <v>11084.299999999814</v>
      </c>
    </row>
    <row r="30" spans="1:7" ht="5.25" customHeight="1">
      <c r="A30" s="169"/>
      <c r="B30" s="169"/>
      <c r="C30" s="170"/>
      <c r="D30" s="171"/>
      <c r="E30" s="171"/>
      <c r="F30" s="171"/>
      <c r="G30" s="171"/>
    </row>
    <row r="31" spans="1:7" ht="17.25" customHeight="1" thickBot="1">
      <c r="A31" s="379" t="s">
        <v>328</v>
      </c>
      <c r="B31" s="380"/>
      <c r="C31" s="380"/>
      <c r="D31" s="381"/>
      <c r="E31" s="381"/>
      <c r="F31" s="381"/>
      <c r="G31" s="171"/>
    </row>
    <row r="32" spans="1:9" s="67" customFormat="1" ht="15.75" thickBot="1">
      <c r="A32" s="391" t="s">
        <v>410</v>
      </c>
      <c r="B32" s="392"/>
      <c r="C32" s="392"/>
      <c r="D32" s="65">
        <v>655286.02</v>
      </c>
      <c r="E32" s="163"/>
      <c r="F32" s="163"/>
      <c r="G32" s="163"/>
      <c r="H32" s="62"/>
      <c r="I32" s="62"/>
    </row>
    <row r="33" spans="1:9" s="67" customFormat="1" ht="6" customHeight="1" thickBot="1">
      <c r="A33" s="68"/>
      <c r="B33" s="68"/>
      <c r="C33" s="164"/>
      <c r="D33" s="163"/>
      <c r="E33" s="163"/>
      <c r="F33" s="163"/>
      <c r="G33" s="163"/>
      <c r="H33" s="62"/>
      <c r="I33" s="62"/>
    </row>
    <row r="34" spans="1:9" s="67" customFormat="1" ht="15.75" thickBot="1">
      <c r="A34" s="63" t="s">
        <v>412</v>
      </c>
      <c r="B34" s="64"/>
      <c r="C34" s="165"/>
      <c r="D34" s="166"/>
      <c r="E34" s="166"/>
      <c r="F34" s="166"/>
      <c r="G34" s="162">
        <f>G14</f>
        <v>34925.52</v>
      </c>
      <c r="H34" s="62"/>
      <c r="I34" s="62"/>
    </row>
    <row r="35" spans="1:13" s="67" customFormat="1" ht="15.75" thickBot="1">
      <c r="A35" s="63" t="s">
        <v>413</v>
      </c>
      <c r="B35" s="64"/>
      <c r="C35" s="165"/>
      <c r="D35" s="166"/>
      <c r="E35" s="166"/>
      <c r="F35" s="166"/>
      <c r="G35" s="162">
        <f>G15+E24-F24</f>
        <v>411995.1868999999</v>
      </c>
      <c r="H35" s="62"/>
      <c r="I35" s="62"/>
      <c r="M35" s="146"/>
    </row>
    <row r="36" spans="1:9" s="67" customFormat="1" ht="15">
      <c r="A36" s="68"/>
      <c r="B36" s="68"/>
      <c r="C36" s="164"/>
      <c r="D36" s="163"/>
      <c r="E36" s="163"/>
      <c r="F36" s="163"/>
      <c r="G36" s="163"/>
      <c r="H36" s="62"/>
      <c r="I36" s="62"/>
    </row>
    <row r="37" spans="1:9" ht="28.5" customHeight="1">
      <c r="A37" s="377" t="s">
        <v>44</v>
      </c>
      <c r="B37" s="377"/>
      <c r="C37" s="377"/>
      <c r="D37" s="377"/>
      <c r="E37" s="377"/>
      <c r="F37" s="377"/>
      <c r="G37" s="377"/>
      <c r="H37" s="377"/>
      <c r="I37" s="377"/>
    </row>
    <row r="38" ht="6.75" customHeight="1"/>
    <row r="39" spans="1:7" s="172" customFormat="1" ht="28.5" customHeight="1">
      <c r="A39" s="105" t="s">
        <v>11</v>
      </c>
      <c r="B39" s="401" t="s">
        <v>45</v>
      </c>
      <c r="C39" s="402"/>
      <c r="D39" s="105" t="s">
        <v>165</v>
      </c>
      <c r="E39" s="105" t="s">
        <v>164</v>
      </c>
      <c r="F39" s="409" t="s">
        <v>46</v>
      </c>
      <c r="G39" s="410"/>
    </row>
    <row r="40" spans="1:7" s="115" customFormat="1" ht="12.75" customHeight="1">
      <c r="A40" s="109" t="s">
        <v>47</v>
      </c>
      <c r="B40" s="403" t="s">
        <v>111</v>
      </c>
      <c r="C40" s="404"/>
      <c r="D40" s="173"/>
      <c r="E40" s="173"/>
      <c r="F40" s="399">
        <f>SUM(F41:G46)</f>
        <v>30675.8215</v>
      </c>
      <c r="G40" s="400"/>
    </row>
    <row r="41" spans="1:7" s="115" customFormat="1" ht="12.75" customHeight="1">
      <c r="A41" s="34" t="s">
        <v>16</v>
      </c>
      <c r="B41" s="385" t="s">
        <v>375</v>
      </c>
      <c r="C41" s="398"/>
      <c r="D41" s="372"/>
      <c r="E41" s="360" t="s">
        <v>634</v>
      </c>
      <c r="F41" s="407">
        <v>11437</v>
      </c>
      <c r="G41" s="408"/>
    </row>
    <row r="42" spans="1:7" s="115" customFormat="1" ht="30.75" customHeight="1">
      <c r="A42" s="34" t="s">
        <v>18</v>
      </c>
      <c r="B42" s="385" t="s">
        <v>688</v>
      </c>
      <c r="C42" s="398"/>
      <c r="D42" s="360"/>
      <c r="E42" s="360" t="s">
        <v>239</v>
      </c>
      <c r="F42" s="407">
        <v>1790</v>
      </c>
      <c r="G42" s="408"/>
    </row>
    <row r="43" spans="1:7" s="115" customFormat="1" ht="17.25" customHeight="1">
      <c r="A43" s="34" t="s">
        <v>20</v>
      </c>
      <c r="B43" s="413" t="s">
        <v>690</v>
      </c>
      <c r="C43" s="414"/>
      <c r="D43" s="360" t="s">
        <v>166</v>
      </c>
      <c r="E43" s="360">
        <v>1</v>
      </c>
      <c r="F43" s="407">
        <v>6397.19</v>
      </c>
      <c r="G43" s="408"/>
    </row>
    <row r="44" spans="1:7" s="115" customFormat="1" ht="12.75" customHeight="1">
      <c r="A44" s="34" t="s">
        <v>22</v>
      </c>
      <c r="B44" s="382" t="s">
        <v>702</v>
      </c>
      <c r="C44" s="383"/>
      <c r="D44" s="152"/>
      <c r="E44" s="152"/>
      <c r="F44" s="396">
        <v>10000</v>
      </c>
      <c r="G44" s="397"/>
    </row>
    <row r="45" spans="1:7" s="115" customFormat="1" ht="12.75" customHeight="1">
      <c r="A45" s="34" t="s">
        <v>24</v>
      </c>
      <c r="B45" s="382"/>
      <c r="C45" s="383"/>
      <c r="D45" s="152"/>
      <c r="E45" s="175"/>
      <c r="F45" s="396"/>
      <c r="G45" s="397"/>
    </row>
    <row r="46" spans="1:7" s="115" customFormat="1" ht="12.75" customHeight="1">
      <c r="A46" s="34" t="s">
        <v>103</v>
      </c>
      <c r="B46" s="411" t="s">
        <v>191</v>
      </c>
      <c r="C46" s="412"/>
      <c r="D46" s="174"/>
      <c r="E46" s="174"/>
      <c r="F46" s="396">
        <f>E24*1%</f>
        <v>1051.6315</v>
      </c>
      <c r="G46" s="397"/>
    </row>
    <row r="47" spans="3:7" s="67" customFormat="1" ht="15">
      <c r="C47" s="146"/>
      <c r="D47" s="146"/>
      <c r="E47" s="146"/>
      <c r="F47" s="146"/>
      <c r="G47" s="146"/>
    </row>
    <row r="48" spans="1:7" s="67" customFormat="1" ht="15">
      <c r="A48" s="67" t="s">
        <v>55</v>
      </c>
      <c r="C48" s="146" t="s">
        <v>49</v>
      </c>
      <c r="D48" s="146"/>
      <c r="E48" s="146"/>
      <c r="F48" s="146" t="s">
        <v>90</v>
      </c>
      <c r="G48" s="146"/>
    </row>
    <row r="49" spans="3:7" s="67" customFormat="1" ht="15">
      <c r="C49" s="146"/>
      <c r="D49" s="146"/>
      <c r="E49" s="146"/>
      <c r="F49" s="161" t="s">
        <v>684</v>
      </c>
      <c r="G49" s="146"/>
    </row>
    <row r="50" spans="1:7" s="67" customFormat="1" ht="15">
      <c r="A50" s="67" t="s">
        <v>50</v>
      </c>
      <c r="C50" s="146"/>
      <c r="D50" s="146"/>
      <c r="E50" s="146"/>
      <c r="F50" s="146"/>
      <c r="G50" s="146"/>
    </row>
    <row r="51" spans="3:7" s="67" customFormat="1" ht="11.25" customHeight="1">
      <c r="C51" s="176" t="s">
        <v>51</v>
      </c>
      <c r="D51" s="146"/>
      <c r="E51" s="176"/>
      <c r="F51" s="176"/>
      <c r="G51" s="176"/>
    </row>
    <row r="52" spans="3:7" s="67" customFormat="1" ht="15">
      <c r="C52" s="146"/>
      <c r="D52" s="146"/>
      <c r="E52" s="146"/>
      <c r="F52" s="146"/>
      <c r="G52" s="146"/>
    </row>
    <row r="53" spans="3:7" s="67" customFormat="1" ht="15">
      <c r="C53" s="146"/>
      <c r="D53" s="146"/>
      <c r="E53" s="146"/>
      <c r="F53" s="146"/>
      <c r="G53" s="146"/>
    </row>
  </sheetData>
  <sheetProtection/>
  <mergeCells count="26">
    <mergeCell ref="B46:C46"/>
    <mergeCell ref="F46:G46"/>
    <mergeCell ref="F42:G42"/>
    <mergeCell ref="F43:G43"/>
    <mergeCell ref="B42:C42"/>
    <mergeCell ref="B43:C43"/>
    <mergeCell ref="B44:C44"/>
    <mergeCell ref="F45:G45"/>
    <mergeCell ref="B45:C45"/>
    <mergeCell ref="A1:I1"/>
    <mergeCell ref="A2:I2"/>
    <mergeCell ref="A5:I5"/>
    <mergeCell ref="A10:I10"/>
    <mergeCell ref="A3:K3"/>
    <mergeCell ref="F41:G41"/>
    <mergeCell ref="F39:G39"/>
    <mergeCell ref="A12:I12"/>
    <mergeCell ref="A31:F31"/>
    <mergeCell ref="A11:I11"/>
    <mergeCell ref="F44:G44"/>
    <mergeCell ref="B41:C41"/>
    <mergeCell ref="A37:I37"/>
    <mergeCell ref="F40:G40"/>
    <mergeCell ref="A32:C32"/>
    <mergeCell ref="B39:C39"/>
    <mergeCell ref="B40:C40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5"/>
  <sheetViews>
    <sheetView zoomScalePageLayoutView="0" workbookViewId="0" topLeftCell="A35">
      <selection activeCell="A49" sqref="A49"/>
    </sheetView>
  </sheetViews>
  <sheetFormatPr defaultColWidth="9.140625" defaultRowHeight="15" outlineLevelCol="1"/>
  <cols>
    <col min="1" max="1" width="4.7109375" style="35" customWidth="1"/>
    <col min="2" max="2" width="49.28125" style="35" customWidth="1"/>
    <col min="3" max="3" width="12.8515625" style="35" customWidth="1"/>
    <col min="4" max="4" width="13.140625" style="35" bestFit="1" customWidth="1"/>
    <col min="5" max="5" width="13.140625" style="35" customWidth="1"/>
    <col min="6" max="6" width="13.8515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8.2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6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7.5" customHeight="1"/>
    <row r="7" spans="1:6" s="67" customFormat="1" ht="16.5" customHeight="1">
      <c r="A7" s="67" t="s">
        <v>2</v>
      </c>
      <c r="F7" s="127" t="s">
        <v>71</v>
      </c>
    </row>
    <row r="8" spans="1:11" s="67" customFormat="1" ht="15">
      <c r="A8" s="67" t="s">
        <v>3</v>
      </c>
      <c r="F8" s="295" t="s">
        <v>444</v>
      </c>
      <c r="I8" s="202">
        <v>1412.2</v>
      </c>
      <c r="J8" s="311">
        <v>2724.3</v>
      </c>
      <c r="K8" s="202">
        <f>I8+J8</f>
        <v>4136.5</v>
      </c>
    </row>
    <row r="9" s="67" customFormat="1" ht="7.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'[1]Калинина 12'!$G$37</f>
        <v>-154269.83000000002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'[1]Калинина 12'!$G$38</f>
        <v>-934395.3749999999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15">
      <c r="A18" s="75" t="s">
        <v>14</v>
      </c>
      <c r="B18" s="41" t="s">
        <v>15</v>
      </c>
      <c r="C18" s="136">
        <f>C19+C20+C21+C22+C23</f>
        <v>13.379999999999999</v>
      </c>
      <c r="D18" s="76">
        <v>452069.4</v>
      </c>
      <c r="E18" s="76">
        <v>401287.81</v>
      </c>
      <c r="F18" s="76">
        <f aca="true" t="shared" si="0" ref="F18:F26">D18</f>
        <v>452069.4</v>
      </c>
      <c r="G18" s="77">
        <f aca="true" t="shared" si="1" ref="G18:G23">D18-E18</f>
        <v>50781.590000000026</v>
      </c>
      <c r="H18" s="146">
        <f aca="true" t="shared" si="2" ref="H18:H23">C18</f>
        <v>13.379999999999999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116902.84932735427</v>
      </c>
      <c r="E19" s="83">
        <f>E18*I19</f>
        <v>103770.98823617339</v>
      </c>
      <c r="F19" s="83">
        <f t="shared" si="0"/>
        <v>116902.84932735427</v>
      </c>
      <c r="G19" s="84">
        <f t="shared" si="1"/>
        <v>13131.86109118088</v>
      </c>
      <c r="H19" s="146">
        <f t="shared" si="2"/>
        <v>3.46</v>
      </c>
      <c r="I19" s="67">
        <f>H19/H18</f>
        <v>0.2585949177877429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57099.94663677131</v>
      </c>
      <c r="E20" s="83">
        <f>E18*I20</f>
        <v>50685.829514200304</v>
      </c>
      <c r="F20" s="83">
        <f t="shared" si="0"/>
        <v>57099.94663677131</v>
      </c>
      <c r="G20" s="84">
        <f t="shared" si="1"/>
        <v>6414.117122571006</v>
      </c>
      <c r="H20" s="146">
        <f t="shared" si="2"/>
        <v>1.69</v>
      </c>
      <c r="I20" s="67">
        <f>H20/H18</f>
        <v>0.12630792227204785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57099.94663677131</v>
      </c>
      <c r="E21" s="83">
        <f>E18*I21</f>
        <v>50685.829514200304</v>
      </c>
      <c r="F21" s="83">
        <f t="shared" si="0"/>
        <v>57099.94663677131</v>
      </c>
      <c r="G21" s="84">
        <f t="shared" si="1"/>
        <v>6414.117122571006</v>
      </c>
      <c r="H21" s="146">
        <f t="shared" si="2"/>
        <v>1.69</v>
      </c>
      <c r="I21" s="67">
        <f>H21/H18</f>
        <v>0.12630792227204785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102712.33004484307</v>
      </c>
      <c r="E22" s="83">
        <f>E18*I22</f>
        <v>91174.50989536622</v>
      </c>
      <c r="F22" s="83">
        <f t="shared" si="0"/>
        <v>102712.33004484307</v>
      </c>
      <c r="G22" s="84">
        <f t="shared" si="1"/>
        <v>11537.820149476844</v>
      </c>
      <c r="H22" s="146">
        <f t="shared" si="2"/>
        <v>3.04</v>
      </c>
      <c r="I22" s="67">
        <f>H22/H18</f>
        <v>0.22720478325859494</v>
      </c>
    </row>
    <row r="23" spans="1:9" s="67" customFormat="1" ht="15">
      <c r="A23" s="81" t="s">
        <v>24</v>
      </c>
      <c r="B23" s="34" t="s">
        <v>144</v>
      </c>
      <c r="C23" s="99">
        <v>3.5</v>
      </c>
      <c r="D23" s="83">
        <f>D18*I23</f>
        <v>118254.3273542601</v>
      </c>
      <c r="E23" s="83">
        <f>E18*I23</f>
        <v>104970.65284005979</v>
      </c>
      <c r="F23" s="83">
        <f>D23</f>
        <v>118254.3273542601</v>
      </c>
      <c r="G23" s="84">
        <f t="shared" si="1"/>
        <v>13283.674514200306</v>
      </c>
      <c r="H23" s="146">
        <f t="shared" si="2"/>
        <v>3.5</v>
      </c>
      <c r="I23" s="67">
        <f>H23/H18</f>
        <v>0.2615844544095665</v>
      </c>
    </row>
    <row r="24" spans="1:7" ht="15">
      <c r="A24" s="41" t="s">
        <v>25</v>
      </c>
      <c r="B24" s="141" t="s">
        <v>137</v>
      </c>
      <c r="C24" s="97">
        <v>0</v>
      </c>
      <c r="D24" s="77">
        <v>0</v>
      </c>
      <c r="E24" s="77">
        <v>73.48</v>
      </c>
      <c r="F24" s="77">
        <v>0</v>
      </c>
      <c r="G24" s="77">
        <f aca="true" t="shared" si="3" ref="G24:G33">D24-E24</f>
        <v>-73.48</v>
      </c>
    </row>
    <row r="25" spans="1:7" ht="15">
      <c r="A25" s="41" t="s">
        <v>27</v>
      </c>
      <c r="B25" s="141" t="s">
        <v>28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</row>
    <row r="26" spans="1:7" ht="15">
      <c r="A26" s="41" t="s">
        <v>29</v>
      </c>
      <c r="B26" s="141" t="s">
        <v>163</v>
      </c>
      <c r="C26" s="142" t="s">
        <v>334</v>
      </c>
      <c r="D26" s="77">
        <v>0</v>
      </c>
      <c r="E26" s="77">
        <v>0</v>
      </c>
      <c r="F26" s="77">
        <f t="shared" si="0"/>
        <v>0</v>
      </c>
      <c r="G26" s="77">
        <f t="shared" si="3"/>
        <v>0</v>
      </c>
    </row>
    <row r="27" spans="1:7" ht="15">
      <c r="A27" s="41" t="s">
        <v>31</v>
      </c>
      <c r="B27" s="141" t="s">
        <v>116</v>
      </c>
      <c r="C27" s="97">
        <v>1.86</v>
      </c>
      <c r="D27" s="77">
        <v>60806.4</v>
      </c>
      <c r="E27" s="77">
        <v>55962.46</v>
      </c>
      <c r="F27" s="87">
        <f>F43</f>
        <v>227013.8946</v>
      </c>
      <c r="G27" s="77">
        <f t="shared" si="3"/>
        <v>4843.940000000002</v>
      </c>
    </row>
    <row r="28" spans="1:7" ht="15">
      <c r="A28" s="41" t="s">
        <v>33</v>
      </c>
      <c r="B28" s="135" t="s">
        <v>34</v>
      </c>
      <c r="C28" s="46">
        <v>0</v>
      </c>
      <c r="D28" s="77">
        <v>0</v>
      </c>
      <c r="E28" s="77">
        <v>3.53</v>
      </c>
      <c r="F28" s="87">
        <v>0</v>
      </c>
      <c r="G28" s="77">
        <f t="shared" si="3"/>
        <v>-3.53</v>
      </c>
    </row>
    <row r="29" spans="1:7" ht="15">
      <c r="A29" s="41" t="s">
        <v>35</v>
      </c>
      <c r="B29" s="135" t="s">
        <v>36</v>
      </c>
      <c r="C29" s="97"/>
      <c r="D29" s="77">
        <f>SUM(D30:D33)</f>
        <v>1336007.5999999999</v>
      </c>
      <c r="E29" s="77">
        <f>SUM(E30:E33)</f>
        <v>1211145.32</v>
      </c>
      <c r="F29" s="77">
        <f>SUM(F30:F33)</f>
        <v>1336007.5999999999</v>
      </c>
      <c r="G29" s="77">
        <f t="shared" si="3"/>
        <v>124862.2799999998</v>
      </c>
    </row>
    <row r="30" spans="1:7" ht="15">
      <c r="A30" s="34" t="s">
        <v>37</v>
      </c>
      <c r="B30" s="34" t="s">
        <v>167</v>
      </c>
      <c r="C30" s="289" t="s">
        <v>406</v>
      </c>
      <c r="D30" s="84">
        <v>6810.85</v>
      </c>
      <c r="E30" s="84">
        <v>6580.7</v>
      </c>
      <c r="F30" s="84">
        <f>D30</f>
        <v>6810.85</v>
      </c>
      <c r="G30" s="84">
        <f t="shared" si="3"/>
        <v>230.15000000000055</v>
      </c>
    </row>
    <row r="31" spans="1:7" ht="15">
      <c r="A31" s="34" t="s">
        <v>39</v>
      </c>
      <c r="B31" s="34" t="s">
        <v>138</v>
      </c>
      <c r="C31" s="289" t="s">
        <v>409</v>
      </c>
      <c r="D31" s="84">
        <v>364808.29</v>
      </c>
      <c r="E31" s="84">
        <v>318204.37</v>
      </c>
      <c r="F31" s="84">
        <f>D31</f>
        <v>364808.29</v>
      </c>
      <c r="G31" s="84">
        <f t="shared" si="3"/>
        <v>46603.919999999984</v>
      </c>
    </row>
    <row r="32" spans="1:7" ht="15">
      <c r="A32" s="34" t="s">
        <v>42</v>
      </c>
      <c r="B32" s="34" t="s">
        <v>40</v>
      </c>
      <c r="C32" s="290">
        <v>0</v>
      </c>
      <c r="D32" s="84">
        <v>0</v>
      </c>
      <c r="E32" s="84">
        <v>0</v>
      </c>
      <c r="F32" s="84">
        <f>D32</f>
        <v>0</v>
      </c>
      <c r="G32" s="84">
        <f t="shared" si="3"/>
        <v>0</v>
      </c>
    </row>
    <row r="33" spans="1:9" ht="15">
      <c r="A33" s="34" t="s">
        <v>41</v>
      </c>
      <c r="B33" s="34" t="s">
        <v>43</v>
      </c>
      <c r="C33" s="289" t="s">
        <v>407</v>
      </c>
      <c r="D33" s="84">
        <v>964388.46</v>
      </c>
      <c r="E33" s="84">
        <v>886360.25</v>
      </c>
      <c r="F33" s="84">
        <f>D33</f>
        <v>964388.46</v>
      </c>
      <c r="G33" s="84">
        <f t="shared" si="3"/>
        <v>78028.20999999996</v>
      </c>
      <c r="H33" s="101"/>
      <c r="I33" s="101"/>
    </row>
    <row r="34" spans="1:9" ht="15.75" thickBot="1">
      <c r="A34" s="379" t="s">
        <v>328</v>
      </c>
      <c r="B34" s="380"/>
      <c r="C34" s="380"/>
      <c r="D34" s="381"/>
      <c r="E34" s="381"/>
      <c r="F34" s="381"/>
      <c r="G34" s="171"/>
      <c r="H34" s="101"/>
      <c r="I34" s="101"/>
    </row>
    <row r="35" spans="1:10" s="102" customFormat="1" ht="14.25" thickBot="1">
      <c r="A35" s="391" t="s">
        <v>410</v>
      </c>
      <c r="B35" s="392"/>
      <c r="C35" s="392"/>
      <c r="D35" s="65">
        <v>925615.75</v>
      </c>
      <c r="E35" s="66"/>
      <c r="F35" s="66"/>
      <c r="G35" s="66"/>
      <c r="H35" s="62"/>
      <c r="I35" s="62"/>
      <c r="J35" s="101"/>
    </row>
    <row r="36" spans="1:9" s="67" customFormat="1" ht="15.75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412</v>
      </c>
      <c r="B37" s="64"/>
      <c r="C37" s="64"/>
      <c r="D37" s="69"/>
      <c r="E37" s="70"/>
      <c r="F37" s="70"/>
      <c r="G37" s="145">
        <f>G14+E28-F28</f>
        <v>-154266.30000000002</v>
      </c>
      <c r="H37" s="62"/>
      <c r="I37" s="62"/>
    </row>
    <row r="38" spans="1:9" s="67" customFormat="1" ht="15.75" thickBot="1">
      <c r="A38" s="63" t="s">
        <v>413</v>
      </c>
      <c r="B38" s="64"/>
      <c r="C38" s="64"/>
      <c r="D38" s="69"/>
      <c r="E38" s="70"/>
      <c r="F38" s="70"/>
      <c r="G38" s="145">
        <f>G15+E27-F27</f>
        <v>-1105446.8095999998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198"/>
      <c r="I39" s="198"/>
    </row>
    <row r="40" spans="1:9" s="67" customFormat="1" ht="36" customHeight="1">
      <c r="A40" s="464" t="s">
        <v>44</v>
      </c>
      <c r="B40" s="465"/>
      <c r="C40" s="465"/>
      <c r="D40" s="465"/>
      <c r="E40" s="465"/>
      <c r="F40" s="465"/>
      <c r="G40" s="465"/>
      <c r="H40" s="199"/>
      <c r="I40" s="199"/>
    </row>
    <row r="41" ht="13.5" customHeight="1"/>
    <row r="42" spans="1:9" ht="28.5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  <c r="H42" s="172"/>
      <c r="I42" s="172"/>
    </row>
    <row r="43" spans="1:9" s="172" customFormat="1" ht="15">
      <c r="A43" s="109" t="s">
        <v>47</v>
      </c>
      <c r="B43" s="403" t="s">
        <v>111</v>
      </c>
      <c r="C43" s="425"/>
      <c r="D43" s="111"/>
      <c r="E43" s="111"/>
      <c r="F43" s="430">
        <f>SUM(F44:L48)</f>
        <v>227013.8946</v>
      </c>
      <c r="G43" s="419"/>
      <c r="H43" s="115"/>
      <c r="I43" s="115"/>
    </row>
    <row r="44" spans="1:7" ht="12.75" customHeight="1">
      <c r="A44" s="34" t="s">
        <v>16</v>
      </c>
      <c r="B44" s="413" t="s">
        <v>664</v>
      </c>
      <c r="C44" s="442"/>
      <c r="D44" s="349" t="s">
        <v>166</v>
      </c>
      <c r="E44" s="354">
        <v>18</v>
      </c>
      <c r="F44" s="418">
        <v>4145</v>
      </c>
      <c r="G44" s="418"/>
    </row>
    <row r="45" spans="1:7" ht="12.75" customHeight="1">
      <c r="A45" s="34" t="s">
        <v>18</v>
      </c>
      <c r="B45" s="359" t="s">
        <v>170</v>
      </c>
      <c r="C45" s="341"/>
      <c r="D45" s="349" t="s">
        <v>247</v>
      </c>
      <c r="E45" s="354">
        <v>0.35</v>
      </c>
      <c r="F45" s="418">
        <v>213717.27</v>
      </c>
      <c r="G45" s="418"/>
    </row>
    <row r="46" spans="1:7" ht="12.75" customHeight="1">
      <c r="A46" s="34" t="s">
        <v>20</v>
      </c>
      <c r="B46" s="359" t="s">
        <v>162</v>
      </c>
      <c r="C46" s="341"/>
      <c r="D46" s="349" t="s">
        <v>169</v>
      </c>
      <c r="E46" s="354">
        <v>800</v>
      </c>
      <c r="F46" s="418">
        <v>8592</v>
      </c>
      <c r="G46" s="418"/>
    </row>
    <row r="47" spans="1:7" ht="12.75" customHeight="1">
      <c r="A47" s="34" t="s">
        <v>22</v>
      </c>
      <c r="B47" s="117"/>
      <c r="C47" s="341"/>
      <c r="D47" s="119"/>
      <c r="E47" s="153"/>
      <c r="F47" s="424"/>
      <c r="G47" s="424"/>
    </row>
    <row r="48" spans="1:7" ht="12.75" customHeight="1">
      <c r="A48" s="34" t="s">
        <v>24</v>
      </c>
      <c r="B48" s="149" t="s">
        <v>191</v>
      </c>
      <c r="C48" s="150"/>
      <c r="D48" s="119"/>
      <c r="E48" s="119"/>
      <c r="F48" s="429">
        <f>E27*1%</f>
        <v>559.6246</v>
      </c>
      <c r="G48" s="429"/>
    </row>
    <row r="49" spans="1:9" ht="12.7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12.75" customHeight="1">
      <c r="A50" s="67" t="s">
        <v>55</v>
      </c>
      <c r="B50" s="67"/>
      <c r="C50" s="67" t="s">
        <v>49</v>
      </c>
      <c r="D50" s="67"/>
      <c r="E50" s="67"/>
      <c r="F50" s="67" t="s">
        <v>90</v>
      </c>
      <c r="G50" s="67"/>
      <c r="H50" s="67"/>
      <c r="I50" s="67"/>
    </row>
    <row r="51" spans="1:9" ht="15">
      <c r="A51" s="67"/>
      <c r="B51" s="67"/>
      <c r="C51" s="67"/>
      <c r="D51" s="67"/>
      <c r="E51" s="67"/>
      <c r="F51" s="127" t="s">
        <v>377</v>
      </c>
      <c r="G51" s="67"/>
      <c r="H51" s="67"/>
      <c r="I51" s="67"/>
    </row>
    <row r="52" s="67" customFormat="1" ht="15">
      <c r="A52" s="67" t="s">
        <v>50</v>
      </c>
    </row>
    <row r="53" spans="3:7" s="67" customFormat="1" ht="13.5" customHeight="1">
      <c r="C53" s="129" t="s">
        <v>51</v>
      </c>
      <c r="E53" s="129"/>
      <c r="F53" s="129"/>
      <c r="G53" s="129"/>
    </row>
    <row r="54" spans="8:9" s="67" customFormat="1" ht="15">
      <c r="H54" s="35"/>
      <c r="I54" s="35"/>
    </row>
    <row r="55" spans="3:7" s="67" customFormat="1" ht="15">
      <c r="C55" s="129"/>
      <c r="E55" s="129"/>
      <c r="F55" s="129"/>
      <c r="G55" s="129"/>
    </row>
    <row r="56" s="67" customFormat="1" ht="15"/>
    <row r="57" s="67" customFormat="1" ht="15"/>
  </sheetData>
  <sheetProtection/>
  <mergeCells count="20">
    <mergeCell ref="F48:G48"/>
    <mergeCell ref="B44:C44"/>
    <mergeCell ref="F44:G44"/>
    <mergeCell ref="F43:G43"/>
    <mergeCell ref="A35:C35"/>
    <mergeCell ref="A12:I12"/>
    <mergeCell ref="F47:G47"/>
    <mergeCell ref="A34:F34"/>
    <mergeCell ref="F42:G42"/>
    <mergeCell ref="B43:C43"/>
    <mergeCell ref="F45:G45"/>
    <mergeCell ref="F46:G46"/>
    <mergeCell ref="A40:G40"/>
    <mergeCell ref="B42:C42"/>
    <mergeCell ref="A1:I1"/>
    <mergeCell ref="A2:I2"/>
    <mergeCell ref="A5:I5"/>
    <mergeCell ref="A10:I10"/>
    <mergeCell ref="A3:K3"/>
    <mergeCell ref="A11:I11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zoomScalePageLayoutView="0" workbookViewId="0" topLeftCell="A37">
      <selection activeCell="F47" sqref="F47:G47"/>
    </sheetView>
  </sheetViews>
  <sheetFormatPr defaultColWidth="9.140625" defaultRowHeight="15" outlineLevelCol="1"/>
  <cols>
    <col min="1" max="1" width="5.00390625" style="35" customWidth="1"/>
    <col min="2" max="2" width="42.28125" style="35" customWidth="1"/>
    <col min="3" max="4" width="12.8515625" style="35" customWidth="1"/>
    <col min="5" max="5" width="13.140625" style="35" bestFit="1" customWidth="1"/>
    <col min="6" max="6" width="15.57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2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3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4.5" customHeight="1"/>
    <row r="7" spans="1:6" s="67" customFormat="1" ht="16.5" customHeight="1">
      <c r="A7" s="67" t="s">
        <v>2</v>
      </c>
      <c r="F7" s="127" t="s">
        <v>72</v>
      </c>
    </row>
    <row r="8" spans="1:6" s="67" customFormat="1" ht="15">
      <c r="A8" s="67" t="s">
        <v>3</v>
      </c>
      <c r="F8" s="295" t="s">
        <v>338</v>
      </c>
    </row>
    <row r="9" s="67" customFormat="1" ht="5.2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'[1]Калинина 18'!$G$37</f>
        <v>379250.77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'[1]Калинина 18'!$G$38</f>
        <v>417109.07889999996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29.25">
      <c r="A18" s="75" t="s">
        <v>14</v>
      </c>
      <c r="B18" s="41" t="s">
        <v>15</v>
      </c>
      <c r="C18" s="136">
        <f>C19+C20+C21+C22</f>
        <v>9.879999999999999</v>
      </c>
      <c r="D18" s="76">
        <v>413954.06</v>
      </c>
      <c r="E18" s="76">
        <v>377789.28</v>
      </c>
      <c r="F18" s="76">
        <f>D18</f>
        <v>413954.06</v>
      </c>
      <c r="G18" s="77">
        <f>D18-E18</f>
        <v>36164.77999999997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144967.71736842106</v>
      </c>
      <c r="E19" s="83">
        <f>E18*I19</f>
        <v>132302.72356275306</v>
      </c>
      <c r="F19" s="83">
        <f>D19</f>
        <v>144967.71736842106</v>
      </c>
      <c r="G19" s="84">
        <f>D19-E19</f>
        <v>12664.993805667997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70807.93131578948</v>
      </c>
      <c r="E20" s="83">
        <f>E18*I20</f>
        <v>64621.85052631579</v>
      </c>
      <c r="F20" s="83">
        <f>D20</f>
        <v>70807.93131578948</v>
      </c>
      <c r="G20" s="84">
        <f>D20-E20</f>
        <v>6186.080789473686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70807.93131578948</v>
      </c>
      <c r="E21" s="83">
        <f>E18*I21</f>
        <v>64621.85052631579</v>
      </c>
      <c r="F21" s="83">
        <f>D21</f>
        <v>70807.93131578948</v>
      </c>
      <c r="G21" s="84">
        <f>D21-E21</f>
        <v>6186.080789473686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127370.48000000001</v>
      </c>
      <c r="E22" s="83">
        <f>E18*I22</f>
        <v>116242.8553846154</v>
      </c>
      <c r="F22" s="83">
        <f>D22</f>
        <v>127370.48000000001</v>
      </c>
      <c r="G22" s="84">
        <f>D22-E22</f>
        <v>11127.624615384615</v>
      </c>
      <c r="H22" s="146">
        <f>C22</f>
        <v>3.04</v>
      </c>
      <c r="I22" s="67">
        <f>H22/H18</f>
        <v>0.3076923076923077</v>
      </c>
    </row>
    <row r="23" spans="1:7" ht="15">
      <c r="A23" s="41" t="s">
        <v>25</v>
      </c>
      <c r="B23" s="141" t="s">
        <v>137</v>
      </c>
      <c r="C23" s="97">
        <v>0</v>
      </c>
      <c r="D23" s="77">
        <v>0</v>
      </c>
      <c r="E23" s="77">
        <v>0</v>
      </c>
      <c r="F23" s="77">
        <v>0</v>
      </c>
      <c r="G23" s="77">
        <f aca="true" t="shared" si="0" ref="G23:G33">D23-E23</f>
        <v>0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1" t="s">
        <v>163</v>
      </c>
      <c r="C25" s="142" t="s">
        <v>333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1" t="s">
        <v>116</v>
      </c>
      <c r="C26" s="97">
        <v>1.86</v>
      </c>
      <c r="D26" s="77">
        <v>75171.6</v>
      </c>
      <c r="E26" s="77">
        <v>71318.73</v>
      </c>
      <c r="F26" s="87">
        <f>F43</f>
        <v>73923.1873</v>
      </c>
      <c r="G26" s="77">
        <f t="shared" si="0"/>
        <v>3852.87000000001</v>
      </c>
    </row>
    <row r="27" spans="1:7" ht="15">
      <c r="A27" s="41" t="s">
        <v>33</v>
      </c>
      <c r="B27" s="135" t="s">
        <v>34</v>
      </c>
      <c r="C27" s="46">
        <v>0</v>
      </c>
      <c r="D27" s="77">
        <v>0</v>
      </c>
      <c r="E27" s="77">
        <v>126.32</v>
      </c>
      <c r="F27" s="200">
        <v>0</v>
      </c>
      <c r="G27" s="77">
        <f t="shared" si="0"/>
        <v>-126.32</v>
      </c>
    </row>
    <row r="28" spans="1:7" ht="15">
      <c r="A28" s="41" t="s">
        <v>35</v>
      </c>
      <c r="B28" s="135" t="s">
        <v>36</v>
      </c>
      <c r="C28" s="97"/>
      <c r="D28" s="77">
        <f>SUM(D29:D32)</f>
        <v>1642781.79</v>
      </c>
      <c r="E28" s="77">
        <f>SUM(E29:E32)</f>
        <v>1582044.39</v>
      </c>
      <c r="F28" s="77">
        <f>SUM(F29:F32)</f>
        <v>1642781.79</v>
      </c>
      <c r="G28" s="77">
        <f t="shared" si="0"/>
        <v>60737.40000000014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26259.64</v>
      </c>
      <c r="E29" s="84">
        <v>24877.38</v>
      </c>
      <c r="F29" s="84">
        <f>D29</f>
        <v>26259.64</v>
      </c>
      <c r="G29" s="84">
        <f t="shared" si="0"/>
        <v>1382.2599999999984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476925.67</v>
      </c>
      <c r="E30" s="84">
        <v>467809.09</v>
      </c>
      <c r="F30" s="84">
        <f>D30</f>
        <v>476925.67</v>
      </c>
      <c r="G30" s="84">
        <f t="shared" si="0"/>
        <v>9116.579999999958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9" ht="15">
      <c r="A32" s="34" t="s">
        <v>41</v>
      </c>
      <c r="B32" s="34" t="s">
        <v>43</v>
      </c>
      <c r="C32" s="289" t="s">
        <v>407</v>
      </c>
      <c r="D32" s="84">
        <v>1139596.48</v>
      </c>
      <c r="E32" s="84">
        <v>1089357.92</v>
      </c>
      <c r="F32" s="84">
        <f>D32</f>
        <v>1139596.48</v>
      </c>
      <c r="G32" s="84">
        <f t="shared" si="0"/>
        <v>50238.560000000056</v>
      </c>
      <c r="H32" s="101"/>
      <c r="I32" s="101"/>
    </row>
    <row r="33" spans="1:9" ht="15">
      <c r="A33" s="192" t="s">
        <v>303</v>
      </c>
      <c r="B33" s="333" t="s">
        <v>308</v>
      </c>
      <c r="C33" s="289"/>
      <c r="D33" s="291">
        <f>3000+4800+3600+3000</f>
        <v>14400</v>
      </c>
      <c r="E33" s="291">
        <v>12735</v>
      </c>
      <c r="F33" s="320"/>
      <c r="G33" s="291">
        <f t="shared" si="0"/>
        <v>1665</v>
      </c>
      <c r="H33" s="101"/>
      <c r="I33" s="101"/>
    </row>
    <row r="34" spans="1:9" ht="15.75" thickBot="1">
      <c r="A34" s="379" t="s">
        <v>328</v>
      </c>
      <c r="B34" s="380"/>
      <c r="C34" s="380"/>
      <c r="D34" s="381"/>
      <c r="E34" s="381"/>
      <c r="F34" s="381"/>
      <c r="G34" s="171"/>
      <c r="H34" s="101"/>
      <c r="I34" s="101"/>
    </row>
    <row r="35" spans="1:10" s="102" customFormat="1" ht="14.25" thickBot="1">
      <c r="A35" s="391" t="s">
        <v>410</v>
      </c>
      <c r="B35" s="392"/>
      <c r="C35" s="392"/>
      <c r="D35" s="65">
        <v>764771.08</v>
      </c>
      <c r="E35" s="66"/>
      <c r="F35" s="66"/>
      <c r="G35" s="66"/>
      <c r="H35" s="62"/>
      <c r="I35" s="62"/>
      <c r="J35" s="101"/>
    </row>
    <row r="36" spans="1:9" s="67" customFormat="1" ht="15.75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412</v>
      </c>
      <c r="B37" s="64"/>
      <c r="C37" s="64"/>
      <c r="D37" s="69"/>
      <c r="E37" s="70"/>
      <c r="F37" s="70"/>
      <c r="G37" s="145">
        <f>G14+E27-F27</f>
        <v>379377.09</v>
      </c>
      <c r="H37" s="62"/>
      <c r="I37" s="62"/>
    </row>
    <row r="38" spans="1:9" s="67" customFormat="1" ht="15.75" thickBot="1">
      <c r="A38" s="63" t="s">
        <v>413</v>
      </c>
      <c r="B38" s="64"/>
      <c r="C38" s="64"/>
      <c r="D38" s="69"/>
      <c r="E38" s="70"/>
      <c r="F38" s="70"/>
      <c r="G38" s="145">
        <f>G15+E26-F26</f>
        <v>414504.62159999995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8.5" customHeight="1">
      <c r="A40" s="463" t="s">
        <v>44</v>
      </c>
      <c r="B40" s="463"/>
      <c r="C40" s="463"/>
      <c r="D40" s="463"/>
      <c r="E40" s="463"/>
      <c r="F40" s="463"/>
      <c r="G40" s="463"/>
      <c r="H40" s="463"/>
      <c r="I40" s="463"/>
    </row>
    <row r="41" ht="6.75" customHeight="1"/>
    <row r="42" spans="1:9" ht="28.5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  <c r="H42" s="172"/>
      <c r="I42" s="172"/>
    </row>
    <row r="43" spans="1:9" ht="15">
      <c r="A43" s="109" t="s">
        <v>47</v>
      </c>
      <c r="B43" s="403" t="s">
        <v>111</v>
      </c>
      <c r="C43" s="425"/>
      <c r="D43" s="111"/>
      <c r="E43" s="111"/>
      <c r="F43" s="430">
        <f>SUM(F44:L48)</f>
        <v>73923.1873</v>
      </c>
      <c r="G43" s="419"/>
      <c r="H43" s="115"/>
      <c r="I43" s="115"/>
    </row>
    <row r="44" spans="1:9" s="172" customFormat="1" ht="30.75" customHeight="1">
      <c r="A44" s="34" t="s">
        <v>16</v>
      </c>
      <c r="B44" s="413" t="s">
        <v>376</v>
      </c>
      <c r="C44" s="423"/>
      <c r="D44" s="349" t="s">
        <v>166</v>
      </c>
      <c r="E44" s="353">
        <v>1</v>
      </c>
      <c r="F44" s="451">
        <v>31410</v>
      </c>
      <c r="G44" s="452"/>
      <c r="H44" s="35"/>
      <c r="I44" s="35"/>
    </row>
    <row r="45" spans="1:9" s="172" customFormat="1" ht="15">
      <c r="A45" s="34" t="s">
        <v>18</v>
      </c>
      <c r="B45" s="382" t="s">
        <v>170</v>
      </c>
      <c r="C45" s="384"/>
      <c r="D45" s="119"/>
      <c r="E45" s="119"/>
      <c r="F45" s="446">
        <v>9800</v>
      </c>
      <c r="G45" s="447"/>
      <c r="H45" s="35"/>
      <c r="I45" s="35"/>
    </row>
    <row r="46" spans="1:9" s="172" customFormat="1" ht="17.25" customHeight="1">
      <c r="A46" s="34" t="s">
        <v>20</v>
      </c>
      <c r="B46" s="382" t="s">
        <v>694</v>
      </c>
      <c r="C46" s="432"/>
      <c r="D46" s="119"/>
      <c r="E46" s="153"/>
      <c r="F46" s="424">
        <v>32000</v>
      </c>
      <c r="G46" s="424"/>
      <c r="H46" s="35"/>
      <c r="I46" s="35"/>
    </row>
    <row r="47" spans="1:9" s="172" customFormat="1" ht="17.25" customHeight="1">
      <c r="A47" s="34" t="s">
        <v>22</v>
      </c>
      <c r="B47" s="117"/>
      <c r="C47" s="341"/>
      <c r="D47" s="119"/>
      <c r="E47" s="153"/>
      <c r="F47" s="424"/>
      <c r="G47" s="424"/>
      <c r="H47" s="35"/>
      <c r="I47" s="35"/>
    </row>
    <row r="48" spans="1:7" ht="15">
      <c r="A48" s="34" t="s">
        <v>24</v>
      </c>
      <c r="B48" s="149" t="s">
        <v>111</v>
      </c>
      <c r="C48" s="150"/>
      <c r="D48" s="119"/>
      <c r="E48" s="119"/>
      <c r="F48" s="429">
        <f>E26*1%</f>
        <v>713.1872999999999</v>
      </c>
      <c r="G48" s="429"/>
    </row>
    <row r="49" spans="1:9" ht="12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12" customHeight="1">
      <c r="A50" s="67" t="s">
        <v>55</v>
      </c>
      <c r="B50" s="67"/>
      <c r="C50" s="67" t="s">
        <v>49</v>
      </c>
      <c r="D50" s="67"/>
      <c r="E50" s="67"/>
      <c r="F50" s="67" t="s">
        <v>90</v>
      </c>
      <c r="G50" s="67"/>
      <c r="H50" s="67"/>
      <c r="I50" s="67"/>
    </row>
    <row r="51" spans="1:9" ht="12" customHeight="1">
      <c r="A51" s="67"/>
      <c r="B51" s="67"/>
      <c r="C51" s="67"/>
      <c r="D51" s="67"/>
      <c r="E51" s="67"/>
      <c r="F51" s="127" t="s">
        <v>438</v>
      </c>
      <c r="G51" s="67"/>
      <c r="H51" s="67"/>
      <c r="I51" s="67"/>
    </row>
    <row r="52" s="67" customFormat="1" ht="9.75" customHeight="1">
      <c r="A52" s="67" t="s">
        <v>50</v>
      </c>
    </row>
    <row r="53" spans="3:7" s="67" customFormat="1" ht="15">
      <c r="C53" s="129" t="s">
        <v>51</v>
      </c>
      <c r="E53" s="129"/>
      <c r="F53" s="129"/>
      <c r="G53" s="129"/>
    </row>
    <row r="54" s="67" customFormat="1" ht="15"/>
    <row r="55" s="67" customFormat="1" ht="15"/>
  </sheetData>
  <sheetProtection/>
  <mergeCells count="22">
    <mergeCell ref="F47:G47"/>
    <mergeCell ref="B45:C45"/>
    <mergeCell ref="A11:I11"/>
    <mergeCell ref="A12:I12"/>
    <mergeCell ref="F48:G48"/>
    <mergeCell ref="A35:C35"/>
    <mergeCell ref="A40:I40"/>
    <mergeCell ref="B42:C42"/>
    <mergeCell ref="F42:G42"/>
    <mergeCell ref="F43:G43"/>
    <mergeCell ref="B46:C46"/>
    <mergeCell ref="F45:G45"/>
    <mergeCell ref="F46:G46"/>
    <mergeCell ref="A34:F34"/>
    <mergeCell ref="F44:G44"/>
    <mergeCell ref="B43:C43"/>
    <mergeCell ref="A1:I1"/>
    <mergeCell ref="A2:I2"/>
    <mergeCell ref="A5:I5"/>
    <mergeCell ref="A10:I10"/>
    <mergeCell ref="A3:K3"/>
    <mergeCell ref="B44:C4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zoomScalePageLayoutView="0" workbookViewId="0" topLeftCell="A37">
      <selection activeCell="A45" sqref="A45"/>
    </sheetView>
  </sheetViews>
  <sheetFormatPr defaultColWidth="9.140625" defaultRowHeight="15" outlineLevelCol="1"/>
  <cols>
    <col min="1" max="1" width="4.7109375" style="35" customWidth="1"/>
    <col min="2" max="2" width="45.7109375" style="35" customWidth="1"/>
    <col min="3" max="3" width="12.7109375" style="35" customWidth="1"/>
    <col min="4" max="4" width="13.00390625" style="35" customWidth="1"/>
    <col min="5" max="5" width="13.140625" style="35" customWidth="1"/>
    <col min="6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710937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2.7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9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.75" customHeight="1"/>
    <row r="7" spans="1:6" s="67" customFormat="1" ht="16.5" customHeight="1">
      <c r="A7" s="67" t="s">
        <v>2</v>
      </c>
      <c r="F7" s="127" t="s">
        <v>73</v>
      </c>
    </row>
    <row r="8" spans="1:6" s="67" customFormat="1" ht="15">
      <c r="A8" s="67" t="s">
        <v>3</v>
      </c>
      <c r="F8" s="295" t="s">
        <v>445</v>
      </c>
    </row>
    <row r="9" s="67" customFormat="1" ht="15"/>
    <row r="10" spans="1:9" s="67" customFormat="1" ht="13.5" customHeight="1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0.5" customHeight="1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'[1]Калинина 23'!$G$36</f>
        <v>23951.50999999998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'[1]Калинина 23'!$G$37</f>
        <v>-78172.9313</v>
      </c>
      <c r="H15" s="62"/>
      <c r="I15" s="62"/>
    </row>
    <row r="16" s="67" customFormat="1" ht="8.2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29.25">
      <c r="A18" s="75" t="s">
        <v>14</v>
      </c>
      <c r="B18" s="41" t="s">
        <v>15</v>
      </c>
      <c r="C18" s="136">
        <f>C19+C20+C21+C22</f>
        <v>9.879999999999999</v>
      </c>
      <c r="D18" s="76">
        <v>447439.83</v>
      </c>
      <c r="E18" s="76">
        <v>442315.34</v>
      </c>
      <c r="F18" s="76">
        <f>D18</f>
        <v>447439.83</v>
      </c>
      <c r="G18" s="77">
        <f>D18-E18</f>
        <v>5124.489999999991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156694.5153643725</v>
      </c>
      <c r="E19" s="83">
        <f>E18*I19</f>
        <v>154899.90651821863</v>
      </c>
      <c r="F19" s="83">
        <f>D19</f>
        <v>156694.5153643725</v>
      </c>
      <c r="G19" s="84">
        <f>D19-E19</f>
        <v>1794.6088461538602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76535.76039473685</v>
      </c>
      <c r="E20" s="83">
        <f>E18*I20</f>
        <v>75659.20289473685</v>
      </c>
      <c r="F20" s="83">
        <f>D20</f>
        <v>76535.76039473685</v>
      </c>
      <c r="G20" s="84">
        <f>D20-E20</f>
        <v>876.5574999999953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76535.76039473685</v>
      </c>
      <c r="E21" s="83">
        <f>E18*I21</f>
        <v>75659.20289473685</v>
      </c>
      <c r="F21" s="83">
        <f>D21</f>
        <v>76535.76039473685</v>
      </c>
      <c r="G21" s="84">
        <f>D21-E21</f>
        <v>876.5574999999953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137673.79384615386</v>
      </c>
      <c r="E22" s="83">
        <f>E18*I22</f>
        <v>136097.02769230772</v>
      </c>
      <c r="F22" s="83">
        <f>D22</f>
        <v>137673.79384615386</v>
      </c>
      <c r="G22" s="84">
        <f>D22-E22</f>
        <v>1576.7661538461398</v>
      </c>
      <c r="H22" s="146">
        <f>C22</f>
        <v>3.04</v>
      </c>
      <c r="I22" s="67">
        <f>H22/H18</f>
        <v>0.3076923076923077</v>
      </c>
    </row>
    <row r="23" spans="1:7" ht="15">
      <c r="A23" s="41" t="s">
        <v>25</v>
      </c>
      <c r="B23" s="141" t="s">
        <v>137</v>
      </c>
      <c r="C23" s="97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1" t="s">
        <v>163</v>
      </c>
      <c r="C25" s="142" t="s">
        <v>333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13" ht="15">
      <c r="A26" s="41" t="s">
        <v>31</v>
      </c>
      <c r="B26" s="141" t="s">
        <v>116</v>
      </c>
      <c r="C26" s="97">
        <v>1.86</v>
      </c>
      <c r="D26" s="77">
        <v>75827.76</v>
      </c>
      <c r="E26" s="77">
        <v>77503.33</v>
      </c>
      <c r="F26" s="87">
        <f>F42</f>
        <v>775.0333</v>
      </c>
      <c r="G26" s="77">
        <f t="shared" si="0"/>
        <v>-1675.570000000007</v>
      </c>
      <c r="M26" s="160"/>
    </row>
    <row r="27" spans="1:16" ht="15">
      <c r="A27" s="41" t="s">
        <v>33</v>
      </c>
      <c r="B27" s="135" t="s">
        <v>325</v>
      </c>
      <c r="C27" s="53"/>
      <c r="D27" s="77">
        <v>0</v>
      </c>
      <c r="E27" s="77">
        <v>4549</v>
      </c>
      <c r="F27" s="200">
        <v>0</v>
      </c>
      <c r="G27" s="77">
        <f t="shared" si="0"/>
        <v>-4549</v>
      </c>
      <c r="H27" s="468" t="s">
        <v>240</v>
      </c>
      <c r="I27" s="469"/>
      <c r="J27" s="469"/>
      <c r="N27" s="466"/>
      <c r="O27" s="467"/>
      <c r="P27" s="467"/>
    </row>
    <row r="28" spans="1:7" ht="15">
      <c r="A28" s="41" t="s">
        <v>35</v>
      </c>
      <c r="B28" s="135" t="s">
        <v>36</v>
      </c>
      <c r="C28" s="97"/>
      <c r="D28" s="77">
        <f>SUM(D29:D32)</f>
        <v>1578563</v>
      </c>
      <c r="E28" s="77">
        <f>SUM(E29:E32)</f>
        <v>1610958.87</v>
      </c>
      <c r="F28" s="77">
        <f>SUM(F29:F32)</f>
        <v>1578563</v>
      </c>
      <c r="G28" s="77">
        <f t="shared" si="0"/>
        <v>-32395.87000000011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31233.51</v>
      </c>
      <c r="E29" s="84">
        <v>32051.81</v>
      </c>
      <c r="F29" s="84">
        <f>D29</f>
        <v>31233.51</v>
      </c>
      <c r="G29" s="84">
        <f t="shared" si="0"/>
        <v>-818.3000000000029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475736.95</v>
      </c>
      <c r="E30" s="84">
        <v>493173.94</v>
      </c>
      <c r="F30" s="84">
        <f>D30</f>
        <v>475736.95</v>
      </c>
      <c r="G30" s="84">
        <f t="shared" si="0"/>
        <v>-17436.98999999999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9" ht="15">
      <c r="A32" s="34" t="s">
        <v>41</v>
      </c>
      <c r="B32" s="34" t="s">
        <v>43</v>
      </c>
      <c r="C32" s="289" t="s">
        <v>407</v>
      </c>
      <c r="D32" s="84">
        <v>1071592.54</v>
      </c>
      <c r="E32" s="84">
        <v>1085733.12</v>
      </c>
      <c r="F32" s="84">
        <f>D32</f>
        <v>1071592.54</v>
      </c>
      <c r="G32" s="84">
        <f t="shared" si="0"/>
        <v>-14140.580000000075</v>
      </c>
      <c r="H32" s="101"/>
      <c r="I32" s="101"/>
    </row>
    <row r="33" spans="1:9" ht="15.75" thickBot="1">
      <c r="A33" s="379" t="s">
        <v>328</v>
      </c>
      <c r="B33" s="380"/>
      <c r="C33" s="380"/>
      <c r="D33" s="381"/>
      <c r="E33" s="381"/>
      <c r="F33" s="381"/>
      <c r="G33" s="171"/>
      <c r="H33" s="101"/>
      <c r="I33" s="101"/>
    </row>
    <row r="34" spans="1:10" s="102" customFormat="1" ht="14.25" thickBot="1">
      <c r="A34" s="391" t="s">
        <v>410</v>
      </c>
      <c r="B34" s="392"/>
      <c r="C34" s="392"/>
      <c r="D34" s="65">
        <v>542721.59</v>
      </c>
      <c r="E34" s="66"/>
      <c r="F34" s="66"/>
      <c r="G34" s="66"/>
      <c r="H34" s="62"/>
      <c r="I34" s="62"/>
      <c r="J34" s="101"/>
    </row>
    <row r="35" spans="1:9" s="67" customFormat="1" ht="15.75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28500.50999999998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-1444.6345999999949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31.5" customHeight="1">
      <c r="A39" s="463" t="s">
        <v>44</v>
      </c>
      <c r="B39" s="463"/>
      <c r="C39" s="463"/>
      <c r="D39" s="463"/>
      <c r="E39" s="463"/>
      <c r="F39" s="463"/>
      <c r="G39" s="463"/>
      <c r="H39" s="463"/>
      <c r="I39" s="463"/>
    </row>
    <row r="41" spans="1:9" ht="28.5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20"/>
      <c r="H41" s="172"/>
      <c r="I41" s="172"/>
    </row>
    <row r="42" spans="1:9" s="172" customFormat="1" ht="15">
      <c r="A42" s="109" t="s">
        <v>47</v>
      </c>
      <c r="B42" s="403" t="s">
        <v>111</v>
      </c>
      <c r="C42" s="425"/>
      <c r="D42" s="111"/>
      <c r="E42" s="111"/>
      <c r="F42" s="430">
        <f>SUM(F43:L44)</f>
        <v>775.0333</v>
      </c>
      <c r="G42" s="419"/>
      <c r="H42" s="115"/>
      <c r="I42" s="115"/>
    </row>
    <row r="43" spans="1:9" s="115" customFormat="1" ht="12.75" customHeight="1">
      <c r="A43" s="34" t="s">
        <v>16</v>
      </c>
      <c r="B43" s="382"/>
      <c r="C43" s="384"/>
      <c r="D43" s="119"/>
      <c r="E43" s="119"/>
      <c r="F43" s="446"/>
      <c r="G43" s="447"/>
      <c r="H43" s="35"/>
      <c r="I43" s="35"/>
    </row>
    <row r="44" spans="1:7" ht="12.75" customHeight="1">
      <c r="A44" s="34" t="s">
        <v>18</v>
      </c>
      <c r="B44" s="149" t="s">
        <v>191</v>
      </c>
      <c r="C44" s="150"/>
      <c r="D44" s="119"/>
      <c r="E44" s="119"/>
      <c r="F44" s="429">
        <f>E26*1%</f>
        <v>775.0333</v>
      </c>
      <c r="G44" s="429"/>
    </row>
    <row r="45" spans="1:9" ht="12.75" customHeight="1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2.75" customHeight="1">
      <c r="A46" s="67" t="s">
        <v>55</v>
      </c>
      <c r="B46" s="67"/>
      <c r="C46" s="67" t="s">
        <v>49</v>
      </c>
      <c r="D46" s="67"/>
      <c r="E46" s="67"/>
      <c r="F46" s="67" t="s">
        <v>90</v>
      </c>
      <c r="G46" s="67"/>
      <c r="H46" s="67"/>
      <c r="I46" s="67"/>
    </row>
    <row r="47" spans="1:9" ht="12.75" customHeight="1">
      <c r="A47" s="67"/>
      <c r="B47" s="67"/>
      <c r="C47" s="67"/>
      <c r="D47" s="67"/>
      <c r="E47" s="67"/>
      <c r="F47" s="127" t="s">
        <v>438</v>
      </c>
      <c r="G47" s="67"/>
      <c r="H47" s="67"/>
      <c r="I47" s="67"/>
    </row>
    <row r="48" spans="1:9" ht="12.75" customHeight="1">
      <c r="A48" s="67" t="s">
        <v>50</v>
      </c>
      <c r="B48" s="67"/>
      <c r="C48" s="67"/>
      <c r="D48" s="67"/>
      <c r="E48" s="67"/>
      <c r="F48" s="67"/>
      <c r="G48" s="67"/>
      <c r="H48" s="67"/>
      <c r="I48" s="67"/>
    </row>
    <row r="49" spans="1:9" ht="12.75" customHeight="1">
      <c r="A49" s="67"/>
      <c r="B49" s="67"/>
      <c r="C49" s="129" t="s">
        <v>51</v>
      </c>
      <c r="D49" s="67"/>
      <c r="E49" s="129"/>
      <c r="F49" s="129"/>
      <c r="G49" s="129"/>
      <c r="H49" s="67"/>
      <c r="I49" s="67"/>
    </row>
    <row r="50" s="67" customFormat="1" ht="15"/>
    <row r="51" s="67" customFormat="1" ht="15"/>
  </sheetData>
  <sheetProtection/>
  <mergeCells count="19">
    <mergeCell ref="A11:I11"/>
    <mergeCell ref="A1:I1"/>
    <mergeCell ref="A2:I2"/>
    <mergeCell ref="A5:I5"/>
    <mergeCell ref="A10:I10"/>
    <mergeCell ref="A3:K3"/>
    <mergeCell ref="N27:P27"/>
    <mergeCell ref="H27:J27"/>
    <mergeCell ref="A33:F33"/>
    <mergeCell ref="A34:C34"/>
    <mergeCell ref="A39:I39"/>
    <mergeCell ref="A12:I12"/>
    <mergeCell ref="B41:C41"/>
    <mergeCell ref="F41:G41"/>
    <mergeCell ref="B42:C42"/>
    <mergeCell ref="F42:G42"/>
    <mergeCell ref="F44:G44"/>
    <mergeCell ref="B43:C43"/>
    <mergeCell ref="F43:G4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zoomScalePageLayoutView="0" workbookViewId="0" topLeftCell="A37">
      <selection activeCell="A48" sqref="A48"/>
    </sheetView>
  </sheetViews>
  <sheetFormatPr defaultColWidth="9.140625" defaultRowHeight="15" outlineLevelCol="1"/>
  <cols>
    <col min="1" max="1" width="4.7109375" style="35" customWidth="1"/>
    <col min="2" max="2" width="41.140625" style="35" customWidth="1"/>
    <col min="3" max="3" width="13.00390625" style="35" customWidth="1"/>
    <col min="4" max="4" width="13.57421875" style="35" customWidth="1"/>
    <col min="5" max="5" width="12.8515625" style="35" customWidth="1"/>
    <col min="6" max="6" width="13.8515625" style="35" customWidth="1"/>
    <col min="7" max="7" width="15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5.2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5.25" customHeight="1"/>
    <row r="7" spans="1:6" s="67" customFormat="1" ht="16.5" customHeight="1">
      <c r="A7" s="67" t="s">
        <v>2</v>
      </c>
      <c r="F7" s="127" t="s">
        <v>74</v>
      </c>
    </row>
    <row r="8" spans="1:6" s="67" customFormat="1" ht="15">
      <c r="A8" s="67" t="s">
        <v>3</v>
      </c>
      <c r="F8" s="295" t="s">
        <v>250</v>
      </c>
    </row>
    <row r="9" s="67" customFormat="1" ht="7.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'[1]Пионерская 9'!$G$36</f>
        <v>24327.02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'[1]Пионерская 9'!$G$37</f>
        <v>-90566.00720000001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29.25">
      <c r="A18" s="75" t="s">
        <v>14</v>
      </c>
      <c r="B18" s="41" t="s">
        <v>15</v>
      </c>
      <c r="C18" s="136">
        <f>C19+C20+C21+C22</f>
        <v>10.34</v>
      </c>
      <c r="D18" s="76">
        <v>384528.12</v>
      </c>
      <c r="E18" s="76">
        <v>368753.01</v>
      </c>
      <c r="F18" s="76">
        <f>D18</f>
        <v>384528.12</v>
      </c>
      <c r="G18" s="77">
        <f>D18-E18</f>
        <v>15775.109999999986</v>
      </c>
      <c r="H18" s="146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128671.88541586074</v>
      </c>
      <c r="E19" s="83">
        <f>E18*I19</f>
        <v>123393.17355899421</v>
      </c>
      <c r="F19" s="83">
        <f>D19</f>
        <v>128671.88541586074</v>
      </c>
      <c r="G19" s="84">
        <f>D19-E19</f>
        <v>5278.711856866532</v>
      </c>
      <c r="H19" s="146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62848.40646034815</v>
      </c>
      <c r="E20" s="83">
        <f>E18*I20</f>
        <v>60270.076102514504</v>
      </c>
      <c r="F20" s="83">
        <f>D20</f>
        <v>62848.40646034815</v>
      </c>
      <c r="G20" s="84">
        <f>D20-E20</f>
        <v>2578.330357833649</v>
      </c>
      <c r="H20" s="146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79955.07330754353</v>
      </c>
      <c r="E21" s="83">
        <f>E18*I21</f>
        <v>76674.94888781432</v>
      </c>
      <c r="F21" s="83">
        <f>D21</f>
        <v>79955.07330754353</v>
      </c>
      <c r="G21" s="84">
        <f>D21-E21</f>
        <v>3280.124419729211</v>
      </c>
      <c r="H21" s="146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113052.75481624759</v>
      </c>
      <c r="E22" s="83">
        <f>E18*I22</f>
        <v>108414.81145067699</v>
      </c>
      <c r="F22" s="83">
        <f>D22</f>
        <v>113052.75481624759</v>
      </c>
      <c r="G22" s="84">
        <f>D22-E22</f>
        <v>4637.943365570594</v>
      </c>
      <c r="H22" s="146">
        <f>C22</f>
        <v>3.04</v>
      </c>
      <c r="I22" s="67">
        <f>H22/H18</f>
        <v>0.2940038684719536</v>
      </c>
    </row>
    <row r="23" spans="1:7" ht="15">
      <c r="A23" s="41" t="s">
        <v>25</v>
      </c>
      <c r="B23" s="141" t="s">
        <v>171</v>
      </c>
      <c r="C23" s="142">
        <v>3.86</v>
      </c>
      <c r="D23" s="77">
        <v>138019.2</v>
      </c>
      <c r="E23" s="77">
        <v>137657.18</v>
      </c>
      <c r="F23" s="76">
        <f aca="true" t="shared" si="0" ref="F23:F32">D23</f>
        <v>138019.2</v>
      </c>
      <c r="G23" s="77">
        <f aca="true" t="shared" si="1" ref="G23:G32">D23-E23</f>
        <v>362.0200000000186</v>
      </c>
    </row>
    <row r="24" spans="1:7" ht="15">
      <c r="A24" s="41" t="s">
        <v>27</v>
      </c>
      <c r="B24" s="141" t="s">
        <v>28</v>
      </c>
      <c r="C24" s="142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ht="15">
      <c r="A25" s="41" t="s">
        <v>29</v>
      </c>
      <c r="B25" s="141" t="s">
        <v>163</v>
      </c>
      <c r="C25" s="142" t="s">
        <v>333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ht="15">
      <c r="A26" s="41" t="s">
        <v>31</v>
      </c>
      <c r="B26" s="141" t="s">
        <v>116</v>
      </c>
      <c r="C26" s="142">
        <v>2.06</v>
      </c>
      <c r="D26" s="77">
        <v>73657.68</v>
      </c>
      <c r="E26" s="77">
        <v>73464.7</v>
      </c>
      <c r="F26" s="76">
        <f>F42</f>
        <v>53321.897</v>
      </c>
      <c r="G26" s="77">
        <f t="shared" si="1"/>
        <v>192.97999999999593</v>
      </c>
      <c r="M26" s="160"/>
    </row>
    <row r="27" spans="1:7" ht="15">
      <c r="A27" s="41" t="s">
        <v>33</v>
      </c>
      <c r="B27" s="135" t="s">
        <v>34</v>
      </c>
      <c r="C27" s="136">
        <v>0</v>
      </c>
      <c r="D27" s="77">
        <v>0</v>
      </c>
      <c r="E27" s="77">
        <v>11.18</v>
      </c>
      <c r="F27" s="76">
        <f>D27</f>
        <v>0</v>
      </c>
      <c r="G27" s="77">
        <f t="shared" si="1"/>
        <v>-11.18</v>
      </c>
    </row>
    <row r="28" spans="1:7" ht="15">
      <c r="A28" s="41" t="s">
        <v>35</v>
      </c>
      <c r="B28" s="135" t="s">
        <v>36</v>
      </c>
      <c r="C28" s="136"/>
      <c r="D28" s="77">
        <f>SUM(D29:D32)</f>
        <v>1866080.38</v>
      </c>
      <c r="E28" s="77">
        <f>SUM(E29:E32)</f>
        <v>1878075.7</v>
      </c>
      <c r="F28" s="76">
        <f t="shared" si="0"/>
        <v>1866080.38</v>
      </c>
      <c r="G28" s="77">
        <f t="shared" si="1"/>
        <v>-11995.320000000065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94154.59</v>
      </c>
      <c r="E29" s="84">
        <v>93467.88</v>
      </c>
      <c r="F29" s="83">
        <f>D29</f>
        <v>94154.59</v>
      </c>
      <c r="G29" s="84">
        <f t="shared" si="1"/>
        <v>686.7099999999919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273200.02</v>
      </c>
      <c r="E30" s="84">
        <v>280219.72</v>
      </c>
      <c r="F30" s="83">
        <f t="shared" si="0"/>
        <v>273200.02</v>
      </c>
      <c r="G30" s="84">
        <f t="shared" si="1"/>
        <v>-7019.699999999953</v>
      </c>
    </row>
    <row r="31" spans="1:7" ht="15">
      <c r="A31" s="34" t="s">
        <v>42</v>
      </c>
      <c r="B31" s="34" t="s">
        <v>40</v>
      </c>
      <c r="C31" s="290" t="s">
        <v>408</v>
      </c>
      <c r="D31" s="84">
        <v>511404.63</v>
      </c>
      <c r="E31" s="84">
        <v>518296.03</v>
      </c>
      <c r="F31" s="83">
        <f t="shared" si="0"/>
        <v>511404.63</v>
      </c>
      <c r="G31" s="84">
        <f t="shared" si="1"/>
        <v>-6891.400000000023</v>
      </c>
    </row>
    <row r="32" spans="1:9" ht="15">
      <c r="A32" s="34" t="s">
        <v>41</v>
      </c>
      <c r="B32" s="34" t="s">
        <v>43</v>
      </c>
      <c r="C32" s="289" t="s">
        <v>407</v>
      </c>
      <c r="D32" s="84">
        <v>987321.14</v>
      </c>
      <c r="E32" s="84">
        <v>986092.07</v>
      </c>
      <c r="F32" s="83">
        <f t="shared" si="0"/>
        <v>987321.14</v>
      </c>
      <c r="G32" s="84">
        <f t="shared" si="1"/>
        <v>1229.0700000000652</v>
      </c>
      <c r="H32" s="101"/>
      <c r="I32" s="101"/>
    </row>
    <row r="33" spans="1:9" ht="15.75" thickBot="1">
      <c r="A33" s="379" t="s">
        <v>328</v>
      </c>
      <c r="B33" s="380"/>
      <c r="C33" s="380"/>
      <c r="D33" s="381"/>
      <c r="E33" s="381"/>
      <c r="F33" s="381"/>
      <c r="G33" s="171"/>
      <c r="H33" s="101"/>
      <c r="I33" s="101"/>
    </row>
    <row r="34" spans="1:10" s="102" customFormat="1" ht="14.25" thickBot="1">
      <c r="A34" s="391" t="s">
        <v>410</v>
      </c>
      <c r="B34" s="392"/>
      <c r="C34" s="392"/>
      <c r="D34" s="65">
        <v>395409.81</v>
      </c>
      <c r="E34" s="66"/>
      <c r="F34" s="66"/>
      <c r="G34" s="66"/>
      <c r="H34" s="62"/>
      <c r="I34" s="62"/>
      <c r="J34" s="101"/>
    </row>
    <row r="35" spans="1:9" s="67" customFormat="1" ht="15.75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24338.2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-70423.20420000001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24" customHeight="1">
      <c r="A39" s="463" t="s">
        <v>44</v>
      </c>
      <c r="B39" s="463"/>
      <c r="C39" s="463"/>
      <c r="D39" s="463"/>
      <c r="E39" s="463"/>
      <c r="F39" s="463"/>
      <c r="G39" s="463"/>
      <c r="H39" s="463"/>
      <c r="I39" s="463"/>
    </row>
    <row r="41" spans="1:9" ht="28.5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20"/>
      <c r="H41" s="172"/>
      <c r="I41" s="172"/>
    </row>
    <row r="42" spans="1:9" s="172" customFormat="1" ht="15">
      <c r="A42" s="109" t="s">
        <v>47</v>
      </c>
      <c r="B42" s="403" t="s">
        <v>111</v>
      </c>
      <c r="C42" s="425"/>
      <c r="D42" s="111"/>
      <c r="E42" s="111"/>
      <c r="F42" s="430">
        <f>SUM(F43:G47)</f>
        <v>53321.897</v>
      </c>
      <c r="G42" s="419"/>
      <c r="H42" s="115"/>
      <c r="I42" s="115"/>
    </row>
    <row r="43" spans="1:9" s="172" customFormat="1" ht="15">
      <c r="A43" s="34" t="s">
        <v>16</v>
      </c>
      <c r="B43" s="413" t="s">
        <v>661</v>
      </c>
      <c r="C43" s="423"/>
      <c r="D43" s="349" t="s">
        <v>229</v>
      </c>
      <c r="E43" s="349">
        <v>0.15</v>
      </c>
      <c r="F43" s="431">
        <v>12300.6</v>
      </c>
      <c r="G43" s="431"/>
      <c r="H43" s="115"/>
      <c r="I43" s="115"/>
    </row>
    <row r="44" spans="1:9" s="172" customFormat="1" ht="15">
      <c r="A44" s="34" t="s">
        <v>18</v>
      </c>
      <c r="B44" s="359" t="s">
        <v>662</v>
      </c>
      <c r="C44" s="118"/>
      <c r="D44" s="349" t="s">
        <v>229</v>
      </c>
      <c r="E44" s="349">
        <v>0.18</v>
      </c>
      <c r="F44" s="431">
        <v>20286.65</v>
      </c>
      <c r="G44" s="431"/>
      <c r="H44" s="115"/>
      <c r="I44" s="115"/>
    </row>
    <row r="45" spans="1:9" s="172" customFormat="1" ht="20.25" customHeight="1">
      <c r="A45" s="34" t="s">
        <v>20</v>
      </c>
      <c r="B45" s="382" t="s">
        <v>691</v>
      </c>
      <c r="C45" s="472"/>
      <c r="D45" s="119"/>
      <c r="E45" s="119"/>
      <c r="F45" s="470">
        <v>20000</v>
      </c>
      <c r="G45" s="471"/>
      <c r="H45" s="115"/>
      <c r="I45" s="115"/>
    </row>
    <row r="46" spans="1:9" s="172" customFormat="1" ht="15">
      <c r="A46" s="34" t="s">
        <v>22</v>
      </c>
      <c r="B46" s="382"/>
      <c r="C46" s="384"/>
      <c r="D46" s="119"/>
      <c r="E46" s="201"/>
      <c r="F46" s="429"/>
      <c r="G46" s="429"/>
      <c r="H46" s="115"/>
      <c r="I46" s="115"/>
    </row>
    <row r="47" spans="1:7" ht="12.75" customHeight="1">
      <c r="A47" s="34" t="s">
        <v>24</v>
      </c>
      <c r="B47" s="149" t="s">
        <v>191</v>
      </c>
      <c r="C47" s="150"/>
      <c r="D47" s="119"/>
      <c r="E47" s="119"/>
      <c r="F47" s="429">
        <f>E26*1%</f>
        <v>734.6469999999999</v>
      </c>
      <c r="G47" s="429"/>
    </row>
    <row r="48" spans="1:9" ht="12.75" customHeight="1">
      <c r="A48" s="67"/>
      <c r="B48" s="67"/>
      <c r="C48" s="67"/>
      <c r="D48" s="67"/>
      <c r="E48" s="67"/>
      <c r="F48" s="67"/>
      <c r="G48" s="67"/>
      <c r="H48" s="67"/>
      <c r="I48" s="67"/>
    </row>
    <row r="49" spans="1:9" ht="12.75" customHeight="1">
      <c r="A49" s="67" t="s">
        <v>55</v>
      </c>
      <c r="B49" s="67"/>
      <c r="C49" s="67" t="s">
        <v>49</v>
      </c>
      <c r="D49" s="67"/>
      <c r="E49" s="67"/>
      <c r="F49" s="67" t="s">
        <v>90</v>
      </c>
      <c r="G49" s="67"/>
      <c r="H49" s="67"/>
      <c r="I49" s="67"/>
    </row>
    <row r="50" spans="1:9" ht="12.75" customHeight="1">
      <c r="A50" s="67"/>
      <c r="B50" s="67"/>
      <c r="C50" s="67"/>
      <c r="D50" s="67"/>
      <c r="E50" s="67"/>
      <c r="F50" s="127" t="s">
        <v>438</v>
      </c>
      <c r="G50" s="67"/>
      <c r="H50" s="67"/>
      <c r="I50" s="67"/>
    </row>
    <row r="51" spans="1:9" ht="12.75" customHeight="1">
      <c r="A51" s="67" t="s">
        <v>50</v>
      </c>
      <c r="B51" s="67"/>
      <c r="C51" s="67"/>
      <c r="D51" s="67"/>
      <c r="E51" s="67"/>
      <c r="F51" s="67"/>
      <c r="G51" s="67"/>
      <c r="H51" s="67"/>
      <c r="I51" s="67"/>
    </row>
    <row r="52" spans="1:9" ht="12.75" customHeight="1">
      <c r="A52" s="67"/>
      <c r="B52" s="67"/>
      <c r="C52" s="129" t="s">
        <v>51</v>
      </c>
      <c r="D52" s="67"/>
      <c r="E52" s="129"/>
      <c r="F52" s="129"/>
      <c r="G52" s="129"/>
      <c r="H52" s="67"/>
      <c r="I52" s="67"/>
    </row>
    <row r="53" spans="1:9" ht="15">
      <c r="A53" s="67"/>
      <c r="B53" s="67"/>
      <c r="C53" s="67"/>
      <c r="D53" s="67"/>
      <c r="E53" s="67"/>
      <c r="F53" s="67"/>
      <c r="G53" s="67"/>
      <c r="H53" s="67"/>
      <c r="I53" s="67"/>
    </row>
    <row r="54" s="67" customFormat="1" ht="15"/>
    <row r="55" spans="1:7" s="67" customFormat="1" ht="13.5" customHeight="1">
      <c r="A55" s="35"/>
      <c r="B55" s="155"/>
      <c r="C55" s="155"/>
      <c r="D55" s="155"/>
      <c r="E55" s="155"/>
      <c r="F55" s="35"/>
      <c r="G55" s="35"/>
    </row>
  </sheetData>
  <sheetProtection/>
  <mergeCells count="22">
    <mergeCell ref="A1:I1"/>
    <mergeCell ref="A2:I2"/>
    <mergeCell ref="A5:I5"/>
    <mergeCell ref="A10:I10"/>
    <mergeCell ref="A3:K3"/>
    <mergeCell ref="A11:I11"/>
    <mergeCell ref="F47:G47"/>
    <mergeCell ref="B46:C46"/>
    <mergeCell ref="A12:I12"/>
    <mergeCell ref="F42:G42"/>
    <mergeCell ref="A34:C34"/>
    <mergeCell ref="F43:G43"/>
    <mergeCell ref="A33:F33"/>
    <mergeCell ref="B45:C45"/>
    <mergeCell ref="A39:I39"/>
    <mergeCell ref="B41:C41"/>
    <mergeCell ref="F41:G41"/>
    <mergeCell ref="B43:C43"/>
    <mergeCell ref="F45:G45"/>
    <mergeCell ref="F46:G46"/>
    <mergeCell ref="B42:C42"/>
    <mergeCell ref="F44:G44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39">
      <selection activeCell="A46" sqref="A46"/>
    </sheetView>
  </sheetViews>
  <sheetFormatPr defaultColWidth="9.140625" defaultRowHeight="15" outlineLevelCol="1"/>
  <cols>
    <col min="1" max="1" width="4.7109375" style="35" customWidth="1"/>
    <col min="2" max="2" width="46.8515625" style="35" customWidth="1"/>
    <col min="3" max="3" width="13.00390625" style="35" customWidth="1"/>
    <col min="4" max="4" width="13.421875" style="35" customWidth="1"/>
    <col min="5" max="5" width="14.00390625" style="35" customWidth="1"/>
    <col min="6" max="6" width="12.71093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7.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4.5" customHeight="1"/>
    <row r="7" spans="1:6" s="67" customFormat="1" ht="16.5" customHeight="1">
      <c r="A7" s="67" t="s">
        <v>2</v>
      </c>
      <c r="F7" s="127" t="s">
        <v>75</v>
      </c>
    </row>
    <row r="8" spans="1:6" s="67" customFormat="1" ht="15">
      <c r="A8" s="67" t="s">
        <v>3</v>
      </c>
      <c r="F8" s="295" t="s">
        <v>446</v>
      </c>
    </row>
    <row r="9" s="67" customFormat="1" ht="7.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'[1]Высокая 4'!$G$35</f>
        <v>13760.64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'[1]Высокая 4'!$G$36</f>
        <v>-90474.40000000002</v>
      </c>
      <c r="H15" s="62"/>
      <c r="I15" s="62"/>
    </row>
    <row r="16" s="67" customFormat="1" ht="8.2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30.75" customHeight="1">
      <c r="A18" s="75" t="s">
        <v>14</v>
      </c>
      <c r="B18" s="41" t="s">
        <v>15</v>
      </c>
      <c r="C18" s="136">
        <f>C19+C20+C21+C22</f>
        <v>9.879999999999999</v>
      </c>
      <c r="D18" s="76">
        <v>215577.9</v>
      </c>
      <c r="E18" s="76">
        <v>208609.28</v>
      </c>
      <c r="F18" s="76">
        <f>D18</f>
        <v>215577.9</v>
      </c>
      <c r="G18" s="77">
        <f>D18-E18</f>
        <v>6968.619999999995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75495.90425101215</v>
      </c>
      <c r="E19" s="83">
        <f>E18*I19</f>
        <v>73055.47659919028</v>
      </c>
      <c r="F19" s="83">
        <f>D19</f>
        <v>75495.90425101215</v>
      </c>
      <c r="G19" s="84">
        <f>D19-E19</f>
        <v>2440.4276518218685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36875.16710526316</v>
      </c>
      <c r="E20" s="83">
        <f>E18*I20</f>
        <v>35683.16631578947</v>
      </c>
      <c r="F20" s="83">
        <f>D20</f>
        <v>36875.16710526316</v>
      </c>
      <c r="G20" s="84">
        <f>D20-E20</f>
        <v>1192.0007894736846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36875.16710526316</v>
      </c>
      <c r="E21" s="83">
        <f>E18*I21</f>
        <v>35683.16631578947</v>
      </c>
      <c r="F21" s="83">
        <f>D21</f>
        <v>36875.16710526316</v>
      </c>
      <c r="G21" s="84">
        <f>D21-E21</f>
        <v>1192.0007894736846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66331.66153846154</v>
      </c>
      <c r="E22" s="83">
        <f>E18*I22</f>
        <v>64187.47076923077</v>
      </c>
      <c r="F22" s="83">
        <f>D22</f>
        <v>66331.66153846154</v>
      </c>
      <c r="G22" s="84">
        <f>D22-E22</f>
        <v>2144.1907692307723</v>
      </c>
      <c r="H22" s="146">
        <f>C22</f>
        <v>3.04</v>
      </c>
      <c r="I22" s="67">
        <f>H22/H18</f>
        <v>0.3076923076923077</v>
      </c>
    </row>
    <row r="23" spans="1:7" ht="15">
      <c r="A23" s="41" t="s">
        <v>25</v>
      </c>
      <c r="B23" s="141" t="s">
        <v>137</v>
      </c>
      <c r="C23" s="97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1" t="s">
        <v>163</v>
      </c>
      <c r="C25" s="142"/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1" t="s">
        <v>116</v>
      </c>
      <c r="C26" s="97">
        <v>1.86</v>
      </c>
      <c r="D26" s="77">
        <v>40584.45</v>
      </c>
      <c r="E26" s="77">
        <v>39279.4</v>
      </c>
      <c r="F26" s="87">
        <f>F41</f>
        <v>86136.91399999999</v>
      </c>
      <c r="G26" s="77">
        <f t="shared" si="0"/>
        <v>1305.0499999999956</v>
      </c>
    </row>
    <row r="27" spans="1:7" ht="15">
      <c r="A27" s="41" t="s">
        <v>33</v>
      </c>
      <c r="B27" s="135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5" t="s">
        <v>36</v>
      </c>
      <c r="C28" s="97"/>
      <c r="D28" s="77">
        <f>SUM(D29:D32)</f>
        <v>993119.02</v>
      </c>
      <c r="E28" s="77">
        <f>SUM(E29:E32)</f>
        <v>934297.29</v>
      </c>
      <c r="F28" s="77">
        <f>SUM(F29:F32)</f>
        <v>993119.02</v>
      </c>
      <c r="G28" s="77">
        <f t="shared" si="0"/>
        <v>58821.72999999998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20762.98</v>
      </c>
      <c r="E29" s="84">
        <v>20008.27</v>
      </c>
      <c r="F29" s="84">
        <f>D29</f>
        <v>20762.98</v>
      </c>
      <c r="G29" s="84">
        <f t="shared" si="0"/>
        <v>754.7099999999991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265622.88</v>
      </c>
      <c r="E30" s="84">
        <v>237219.29</v>
      </c>
      <c r="F30" s="84">
        <f>D30</f>
        <v>265622.88</v>
      </c>
      <c r="G30" s="84">
        <f t="shared" si="0"/>
        <v>28403.589999999997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0"/>
        <v>0</v>
      </c>
    </row>
    <row r="32" spans="1:9" ht="15.75" thickBot="1">
      <c r="A32" s="34" t="s">
        <v>41</v>
      </c>
      <c r="B32" s="34" t="s">
        <v>43</v>
      </c>
      <c r="C32" s="289" t="s">
        <v>407</v>
      </c>
      <c r="D32" s="84">
        <v>706733.16</v>
      </c>
      <c r="E32" s="84">
        <v>677069.73</v>
      </c>
      <c r="F32" s="84">
        <f>D32</f>
        <v>706733.16</v>
      </c>
      <c r="G32" s="84">
        <f t="shared" si="0"/>
        <v>29663.43000000005</v>
      </c>
      <c r="H32" s="101"/>
      <c r="I32" s="101"/>
    </row>
    <row r="33" spans="1:10" s="102" customFormat="1" ht="14.25" thickBot="1">
      <c r="A33" s="391" t="s">
        <v>410</v>
      </c>
      <c r="B33" s="392"/>
      <c r="C33" s="392"/>
      <c r="D33" s="65">
        <v>632672.76</v>
      </c>
      <c r="E33" s="66"/>
      <c r="F33" s="66"/>
      <c r="G33" s="66"/>
      <c r="H33" s="62"/>
      <c r="I33" s="62"/>
      <c r="J33" s="101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412</v>
      </c>
      <c r="B35" s="64"/>
      <c r="C35" s="64"/>
      <c r="D35" s="69"/>
      <c r="E35" s="70"/>
      <c r="F35" s="70"/>
      <c r="G35" s="145">
        <f>G14+E27-F27</f>
        <v>13760.64</v>
      </c>
      <c r="H35" s="62"/>
      <c r="I35" s="62"/>
    </row>
    <row r="36" spans="1:9" s="67" customFormat="1" ht="15.75" thickBot="1">
      <c r="A36" s="63" t="s">
        <v>413</v>
      </c>
      <c r="B36" s="64"/>
      <c r="C36" s="64"/>
      <c r="D36" s="69"/>
      <c r="E36" s="70"/>
      <c r="F36" s="70"/>
      <c r="G36" s="145">
        <f>G15+E26-F26</f>
        <v>-137331.91400000002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32.25" customHeight="1">
      <c r="A38" s="463" t="s">
        <v>44</v>
      </c>
      <c r="B38" s="463"/>
      <c r="C38" s="463"/>
      <c r="D38" s="463"/>
      <c r="E38" s="463"/>
      <c r="F38" s="463"/>
      <c r="G38" s="463"/>
      <c r="H38" s="463"/>
      <c r="I38" s="463"/>
    </row>
    <row r="40" spans="1:9" ht="28.5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401" t="s">
        <v>46</v>
      </c>
      <c r="G40" s="420"/>
      <c r="H40" s="172"/>
      <c r="I40" s="172"/>
    </row>
    <row r="41" spans="1:9" s="172" customFormat="1" ht="28.5" customHeight="1">
      <c r="A41" s="109" t="s">
        <v>47</v>
      </c>
      <c r="B41" s="403" t="s">
        <v>111</v>
      </c>
      <c r="C41" s="425"/>
      <c r="D41" s="111"/>
      <c r="E41" s="111"/>
      <c r="F41" s="430">
        <f>SUM(F42:G45)</f>
        <v>86136.91399999999</v>
      </c>
      <c r="G41" s="419"/>
      <c r="H41" s="115"/>
      <c r="I41" s="115"/>
    </row>
    <row r="42" spans="1:9" s="172" customFormat="1" ht="15">
      <c r="A42" s="34" t="s">
        <v>16</v>
      </c>
      <c r="B42" s="473" t="s">
        <v>162</v>
      </c>
      <c r="C42" s="474"/>
      <c r="D42" s="349" t="s">
        <v>169</v>
      </c>
      <c r="E42" s="349">
        <v>1400</v>
      </c>
      <c r="F42" s="431">
        <v>15036</v>
      </c>
      <c r="G42" s="431"/>
      <c r="H42" s="115"/>
      <c r="I42" s="115"/>
    </row>
    <row r="43" spans="1:9" s="172" customFormat="1" ht="15.75" customHeight="1">
      <c r="A43" s="34" t="s">
        <v>18</v>
      </c>
      <c r="B43" s="473" t="s">
        <v>660</v>
      </c>
      <c r="C43" s="474"/>
      <c r="D43" s="349" t="s">
        <v>168</v>
      </c>
      <c r="E43" s="349">
        <v>5.49</v>
      </c>
      <c r="F43" s="431">
        <v>70708.12</v>
      </c>
      <c r="G43" s="431"/>
      <c r="H43" s="115"/>
      <c r="I43" s="115"/>
    </row>
    <row r="44" spans="1:9" s="172" customFormat="1" ht="15" customHeight="1">
      <c r="A44" s="34" t="s">
        <v>20</v>
      </c>
      <c r="B44" s="436"/>
      <c r="C44" s="475"/>
      <c r="D44" s="119"/>
      <c r="E44" s="122"/>
      <c r="F44" s="429"/>
      <c r="G44" s="429"/>
      <c r="H44" s="115"/>
      <c r="I44" s="115"/>
    </row>
    <row r="45" spans="1:7" ht="12.75" customHeight="1">
      <c r="A45" s="34" t="s">
        <v>22</v>
      </c>
      <c r="B45" s="149" t="s">
        <v>191</v>
      </c>
      <c r="C45" s="150"/>
      <c r="D45" s="119"/>
      <c r="E45" s="119"/>
      <c r="F45" s="429">
        <f>E26*1%</f>
        <v>392.79400000000004</v>
      </c>
      <c r="G45" s="429"/>
    </row>
    <row r="46" spans="1:9" ht="12.75" customHeight="1">
      <c r="A46" s="67"/>
      <c r="B46" s="67"/>
      <c r="C46" s="67"/>
      <c r="D46" s="67"/>
      <c r="E46" s="67"/>
      <c r="F46" s="67"/>
      <c r="G46" s="67"/>
      <c r="H46" s="67"/>
      <c r="I46" s="67"/>
    </row>
    <row r="47" spans="1:6" s="67" customFormat="1" ht="15">
      <c r="A47" s="67" t="s">
        <v>55</v>
      </c>
      <c r="C47" s="67" t="s">
        <v>49</v>
      </c>
      <c r="F47" s="67" t="s">
        <v>90</v>
      </c>
    </row>
    <row r="48" s="67" customFormat="1" ht="15">
      <c r="F48" s="127" t="s">
        <v>438</v>
      </c>
    </row>
    <row r="49" s="67" customFormat="1" ht="13.5" customHeight="1">
      <c r="A49" s="67" t="s">
        <v>50</v>
      </c>
    </row>
    <row r="50" spans="3:7" s="67" customFormat="1" ht="15">
      <c r="C50" s="129" t="s">
        <v>51</v>
      </c>
      <c r="E50" s="129"/>
      <c r="F50" s="129"/>
      <c r="G50" s="129"/>
    </row>
    <row r="51" s="67" customFormat="1" ht="12" customHeight="1"/>
    <row r="52" s="67" customFormat="1" ht="15"/>
    <row r="53" s="67" customFormat="1" ht="15"/>
  </sheetData>
  <sheetProtection/>
  <mergeCells count="20">
    <mergeCell ref="F43:G43"/>
    <mergeCell ref="F45:G45"/>
    <mergeCell ref="F44:G44"/>
    <mergeCell ref="B44:C44"/>
    <mergeCell ref="A1:I1"/>
    <mergeCell ref="A2:I2"/>
    <mergeCell ref="A5:I5"/>
    <mergeCell ref="A10:I10"/>
    <mergeCell ref="A3:K3"/>
    <mergeCell ref="A12:I12"/>
    <mergeCell ref="B41:C41"/>
    <mergeCell ref="A11:I11"/>
    <mergeCell ref="B42:C42"/>
    <mergeCell ref="B43:C43"/>
    <mergeCell ref="B40:C40"/>
    <mergeCell ref="F40:G40"/>
    <mergeCell ref="A33:C33"/>
    <mergeCell ref="A38:I38"/>
    <mergeCell ref="F41:G41"/>
    <mergeCell ref="F42:G4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K49"/>
  <sheetViews>
    <sheetView zoomScalePageLayoutView="0" workbookViewId="0" topLeftCell="A37">
      <selection activeCell="F44" sqref="F44:G44"/>
    </sheetView>
  </sheetViews>
  <sheetFormatPr defaultColWidth="9.140625" defaultRowHeight="15" outlineLevelCol="1"/>
  <cols>
    <col min="1" max="1" width="4.7109375" style="35" customWidth="1"/>
    <col min="2" max="2" width="42.8515625" style="35" customWidth="1"/>
    <col min="3" max="4" width="13.57421875" style="35" customWidth="1"/>
    <col min="5" max="5" width="12.140625" style="35" customWidth="1"/>
    <col min="6" max="6" width="12.710937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6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6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5.25" customHeight="1"/>
    <row r="7" spans="1:6" s="67" customFormat="1" ht="16.5" customHeight="1">
      <c r="A7" s="67" t="s">
        <v>2</v>
      </c>
      <c r="F7" s="127" t="s">
        <v>76</v>
      </c>
    </row>
    <row r="8" spans="1:6" s="67" customFormat="1" ht="15">
      <c r="A8" s="67" t="s">
        <v>3</v>
      </c>
      <c r="F8" s="295" t="s">
        <v>77</v>
      </c>
    </row>
    <row r="9" s="67" customFormat="1" ht="6.7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447</v>
      </c>
      <c r="B14" s="64"/>
      <c r="C14" s="64"/>
      <c r="D14" s="69"/>
      <c r="E14" s="70"/>
      <c r="F14" s="70"/>
      <c r="G14" s="145">
        <f>'[1]Пухова 15'!$G$36</f>
        <v>5572.86</v>
      </c>
      <c r="H14" s="62"/>
      <c r="I14" s="62"/>
    </row>
    <row r="15" spans="1:9" s="67" customFormat="1" ht="15.75" thickBot="1">
      <c r="A15" s="63" t="s">
        <v>448</v>
      </c>
      <c r="B15" s="64"/>
      <c r="C15" s="64"/>
      <c r="D15" s="69"/>
      <c r="E15" s="70"/>
      <c r="F15" s="70"/>
      <c r="G15" s="145">
        <f>'[1]Пухова 15'!$G$37</f>
        <v>-24175.58550000001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29.25">
      <c r="A18" s="75" t="s">
        <v>14</v>
      </c>
      <c r="B18" s="41" t="s">
        <v>15</v>
      </c>
      <c r="C18" s="136">
        <f>C19+C20+C21+C22</f>
        <v>9.34</v>
      </c>
      <c r="D18" s="76">
        <v>41821.56</v>
      </c>
      <c r="E18" s="76">
        <v>41124.81</v>
      </c>
      <c r="F18" s="76">
        <f>D18</f>
        <v>41821.56</v>
      </c>
      <c r="G18" s="77">
        <f>D18-E18</f>
        <v>696.75</v>
      </c>
      <c r="H18" s="146">
        <f>C18</f>
        <v>9.34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15492.783468950749</v>
      </c>
      <c r="E19" s="83">
        <f>E18*I19</f>
        <v>15234.672655246253</v>
      </c>
      <c r="F19" s="83">
        <f>D19</f>
        <v>15492.783468950749</v>
      </c>
      <c r="G19" s="84">
        <f>D19-E19</f>
        <v>258.11081370449574</v>
      </c>
      <c r="H19" s="146">
        <f>C19</f>
        <v>3.46</v>
      </c>
      <c r="I19" s="67">
        <f>H19/H18</f>
        <v>0.37044967880085655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7567.284411134903</v>
      </c>
      <c r="E20" s="83">
        <f>E18*I20</f>
        <v>7441.212944325482</v>
      </c>
      <c r="F20" s="83">
        <f>D20</f>
        <v>7567.284411134903</v>
      </c>
      <c r="G20" s="84">
        <f>D20-E20</f>
        <v>126.07146680942151</v>
      </c>
      <c r="H20" s="146">
        <f>C20</f>
        <v>1.69</v>
      </c>
      <c r="I20" s="67">
        <f>H20/H18</f>
        <v>0.1809421841541756</v>
      </c>
    </row>
    <row r="21" spans="1:9" s="67" customFormat="1" ht="15">
      <c r="A21" s="81" t="s">
        <v>20</v>
      </c>
      <c r="B21" s="34" t="s">
        <v>21</v>
      </c>
      <c r="C21" s="99">
        <v>1.15</v>
      </c>
      <c r="D21" s="83">
        <f>D18*I21</f>
        <v>5149.335546038543</v>
      </c>
      <c r="E21" s="83">
        <f>E18*I21</f>
        <v>5063.54726980728</v>
      </c>
      <c r="F21" s="83">
        <f>D21</f>
        <v>5149.335546038543</v>
      </c>
      <c r="G21" s="84">
        <f>D21-E21</f>
        <v>85.7882762312629</v>
      </c>
      <c r="H21" s="146">
        <f>C21</f>
        <v>1.15</v>
      </c>
      <c r="I21" s="67">
        <f>H21/H18</f>
        <v>0.12312633832976444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13612.156573875804</v>
      </c>
      <c r="E22" s="83">
        <f>E18*I22</f>
        <v>13385.377130620986</v>
      </c>
      <c r="F22" s="83">
        <f>D22</f>
        <v>13612.156573875804</v>
      </c>
      <c r="G22" s="84">
        <f>D22-E22</f>
        <v>226.77944325481803</v>
      </c>
      <c r="H22" s="146">
        <f>C22</f>
        <v>3.04</v>
      </c>
      <c r="I22" s="67">
        <f>H22/H18</f>
        <v>0.32548179871520344</v>
      </c>
    </row>
    <row r="23" spans="1:7" ht="15">
      <c r="A23" s="41" t="s">
        <v>25</v>
      </c>
      <c r="B23" s="141" t="s">
        <v>137</v>
      </c>
      <c r="C23" s="97">
        <v>0</v>
      </c>
      <c r="D23" s="77">
        <v>0</v>
      </c>
      <c r="E23" s="77">
        <v>0</v>
      </c>
      <c r="F23" s="77">
        <v>0</v>
      </c>
      <c r="G23" s="77">
        <f aca="true" t="shared" si="0" ref="G23:G28">D23-E23</f>
        <v>0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1" t="s">
        <v>163</v>
      </c>
      <c r="C25" s="142">
        <v>12.54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1" t="s">
        <v>116</v>
      </c>
      <c r="C26" s="97">
        <v>1.66</v>
      </c>
      <c r="D26" s="77">
        <v>7406.4</v>
      </c>
      <c r="E26" s="77">
        <v>7309.29</v>
      </c>
      <c r="F26" s="87">
        <f>F42</f>
        <v>6973.0929</v>
      </c>
      <c r="G26" s="77">
        <f t="shared" si="0"/>
        <v>97.10999999999967</v>
      </c>
    </row>
    <row r="27" spans="1:7" ht="15">
      <c r="A27" s="41" t="s">
        <v>33</v>
      </c>
      <c r="B27" s="135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5" t="s">
        <v>36</v>
      </c>
      <c r="C28" s="97"/>
      <c r="D28" s="77">
        <f>SUM(D29:D32)</f>
        <v>26209.079999999998</v>
      </c>
      <c r="E28" s="77">
        <f>SUM(E29:E32)</f>
        <v>26654.82</v>
      </c>
      <c r="F28" s="77">
        <f>SUM(F29:F32)</f>
        <v>26209.079999999998</v>
      </c>
      <c r="G28" s="77">
        <f t="shared" si="0"/>
        <v>-445.7400000000016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1953.48</v>
      </c>
      <c r="E29" s="84">
        <v>1928.55</v>
      </c>
      <c r="F29" s="84">
        <f>D29</f>
        <v>1953.48</v>
      </c>
      <c r="G29" s="84">
        <f>D29-E29</f>
        <v>24.930000000000064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24255.6</v>
      </c>
      <c r="E30" s="84">
        <v>24726.27</v>
      </c>
      <c r="F30" s="84">
        <f>D30</f>
        <v>24255.6</v>
      </c>
      <c r="G30" s="84">
        <f>D30-E30</f>
        <v>-470.6700000000019</v>
      </c>
    </row>
    <row r="31" spans="1:7" ht="15">
      <c r="A31" s="34" t="s">
        <v>42</v>
      </c>
      <c r="B31" s="34" t="s">
        <v>40</v>
      </c>
      <c r="C31" s="194"/>
      <c r="D31" s="84">
        <v>0</v>
      </c>
      <c r="E31" s="84">
        <v>0</v>
      </c>
      <c r="F31" s="84">
        <f>D31</f>
        <v>0</v>
      </c>
      <c r="G31" s="84">
        <f>D31-E31</f>
        <v>0</v>
      </c>
    </row>
    <row r="32" spans="1:9" ht="15">
      <c r="A32" s="34" t="s">
        <v>41</v>
      </c>
      <c r="B32" s="34" t="s">
        <v>43</v>
      </c>
      <c r="C32" s="99"/>
      <c r="D32" s="84">
        <v>0</v>
      </c>
      <c r="E32" s="84">
        <v>0</v>
      </c>
      <c r="F32" s="84">
        <f>D32</f>
        <v>0</v>
      </c>
      <c r="G32" s="84">
        <f>D32-E32</f>
        <v>0</v>
      </c>
      <c r="H32" s="101"/>
      <c r="I32" s="101"/>
    </row>
    <row r="33" spans="1:9" ht="15.75" thickBot="1">
      <c r="A33" s="379" t="s">
        <v>328</v>
      </c>
      <c r="B33" s="380"/>
      <c r="C33" s="380"/>
      <c r="D33" s="381"/>
      <c r="E33" s="381"/>
      <c r="F33" s="381"/>
      <c r="G33" s="171"/>
      <c r="H33" s="101"/>
      <c r="I33" s="101"/>
    </row>
    <row r="34" spans="1:10" s="102" customFormat="1" ht="14.25" thickBot="1">
      <c r="A34" s="391" t="s">
        <v>410</v>
      </c>
      <c r="B34" s="392"/>
      <c r="C34" s="392"/>
      <c r="D34" s="65">
        <v>14693.87</v>
      </c>
      <c r="E34" s="66"/>
      <c r="F34" s="66"/>
      <c r="G34" s="66"/>
      <c r="H34" s="62"/>
      <c r="I34" s="62"/>
      <c r="J34" s="101"/>
    </row>
    <row r="35" spans="1:9" s="67" customFormat="1" ht="15.75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5572.86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-23839.388400000007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24.75" customHeight="1">
      <c r="A39" s="463" t="s">
        <v>44</v>
      </c>
      <c r="B39" s="463"/>
      <c r="C39" s="463"/>
      <c r="D39" s="463"/>
      <c r="E39" s="463"/>
      <c r="F39" s="463"/>
      <c r="G39" s="463"/>
      <c r="H39" s="463"/>
      <c r="I39" s="463"/>
    </row>
    <row r="40" ht="4.5" customHeight="1"/>
    <row r="41" spans="1:9" ht="26.25" customHeight="1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20"/>
      <c r="H41" s="172"/>
      <c r="I41" s="172"/>
    </row>
    <row r="42" spans="1:9" ht="15">
      <c r="A42" s="109" t="s">
        <v>47</v>
      </c>
      <c r="B42" s="403" t="s">
        <v>111</v>
      </c>
      <c r="C42" s="425"/>
      <c r="D42" s="111"/>
      <c r="E42" s="111"/>
      <c r="F42" s="430">
        <f>SUM(F43:G44)</f>
        <v>6973.0929</v>
      </c>
      <c r="G42" s="419"/>
      <c r="H42" s="115"/>
      <c r="I42" s="115"/>
    </row>
    <row r="43" spans="1:9" ht="13.5" customHeight="1">
      <c r="A43" s="34" t="s">
        <v>16</v>
      </c>
      <c r="B43" s="382" t="s">
        <v>701</v>
      </c>
      <c r="C43" s="432"/>
      <c r="D43" s="111"/>
      <c r="E43" s="153"/>
      <c r="F43" s="424">
        <v>6900</v>
      </c>
      <c r="G43" s="424"/>
      <c r="H43" s="115"/>
      <c r="I43" s="115"/>
    </row>
    <row r="44" spans="1:9" s="172" customFormat="1" ht="15">
      <c r="A44" s="34" t="s">
        <v>18</v>
      </c>
      <c r="B44" s="149" t="s">
        <v>191</v>
      </c>
      <c r="C44" s="150"/>
      <c r="D44" s="119"/>
      <c r="E44" s="119"/>
      <c r="F44" s="476">
        <f>E26*1%</f>
        <v>73.0929</v>
      </c>
      <c r="G44" s="476"/>
      <c r="H44" s="35"/>
      <c r="I44" s="35"/>
    </row>
    <row r="45" spans="1:9" s="115" customFormat="1" ht="14.25" customHeight="1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4.25" customHeight="1">
      <c r="A46" s="67" t="s">
        <v>55</v>
      </c>
      <c r="B46" s="67"/>
      <c r="C46" s="67" t="s">
        <v>49</v>
      </c>
      <c r="D46" s="67"/>
      <c r="E46" s="67"/>
      <c r="F46" s="67" t="s">
        <v>90</v>
      </c>
      <c r="G46" s="67"/>
      <c r="H46" s="67"/>
      <c r="I46" s="67"/>
    </row>
    <row r="47" spans="1:9" ht="14.25" customHeight="1">
      <c r="A47" s="67"/>
      <c r="B47" s="67"/>
      <c r="C47" s="67"/>
      <c r="D47" s="67"/>
      <c r="E47" s="67"/>
      <c r="F47" s="127" t="s">
        <v>438</v>
      </c>
      <c r="G47" s="67"/>
      <c r="H47" s="67"/>
      <c r="I47" s="67"/>
    </row>
    <row r="48" spans="1:9" ht="14.25" customHeight="1">
      <c r="A48" s="67" t="s">
        <v>50</v>
      </c>
      <c r="B48" s="67"/>
      <c r="C48" s="67"/>
      <c r="D48" s="67"/>
      <c r="E48" s="67"/>
      <c r="F48" s="67"/>
      <c r="G48" s="67"/>
      <c r="H48" s="67"/>
      <c r="I48" s="67"/>
    </row>
    <row r="49" spans="3:7" s="67" customFormat="1" ht="15">
      <c r="C49" s="129" t="s">
        <v>51</v>
      </c>
      <c r="E49" s="129"/>
      <c r="F49" s="129"/>
      <c r="G49" s="129"/>
    </row>
    <row r="50" s="67" customFormat="1" ht="15"/>
  </sheetData>
  <sheetProtection/>
  <mergeCells count="17">
    <mergeCell ref="F44:G44"/>
    <mergeCell ref="A34:C34"/>
    <mergeCell ref="A39:I39"/>
    <mergeCell ref="B41:C41"/>
    <mergeCell ref="F41:G41"/>
    <mergeCell ref="B42:C42"/>
    <mergeCell ref="F42:G42"/>
    <mergeCell ref="B43:C43"/>
    <mergeCell ref="F43:G43"/>
    <mergeCell ref="A33:F33"/>
    <mergeCell ref="A12:I12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P55"/>
  <sheetViews>
    <sheetView zoomScale="98" zoomScaleNormal="98" zoomScalePageLayoutView="0" workbookViewId="0" topLeftCell="A37">
      <selection activeCell="F48" sqref="F48:G48"/>
    </sheetView>
  </sheetViews>
  <sheetFormatPr defaultColWidth="9.140625" defaultRowHeight="15" outlineLevelCol="1"/>
  <cols>
    <col min="1" max="1" width="5.00390625" style="35" customWidth="1"/>
    <col min="2" max="2" width="47.28125" style="35" customWidth="1"/>
    <col min="3" max="3" width="13.57421875" style="35" customWidth="1"/>
    <col min="4" max="4" width="13.7109375" style="35" customWidth="1"/>
    <col min="5" max="5" width="13.57421875" style="35" customWidth="1"/>
    <col min="6" max="6" width="14.140625" style="35" customWidth="1"/>
    <col min="7" max="7" width="13.421875" style="35" customWidth="1"/>
    <col min="8" max="8" width="10.421875" style="35" hidden="1" customWidth="1" outlineLevel="1"/>
    <col min="9" max="9" width="12.2812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140625" style="35" customWidth="1"/>
    <col min="15" max="15" width="13.28125" style="35" customWidth="1"/>
    <col min="16" max="16" width="11.421875" style="35" bestFit="1" customWidth="1"/>
    <col min="17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5.2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4.5" customHeight="1"/>
    <row r="7" spans="1:6" s="67" customFormat="1" ht="16.5" customHeight="1">
      <c r="A7" s="67" t="s">
        <v>2</v>
      </c>
      <c r="F7" s="127" t="s">
        <v>78</v>
      </c>
    </row>
    <row r="8" spans="1:16" s="67" customFormat="1" ht="15">
      <c r="A8" s="67" t="s">
        <v>3</v>
      </c>
      <c r="F8" s="295" t="s">
        <v>449</v>
      </c>
      <c r="H8" s="67" t="s">
        <v>252</v>
      </c>
      <c r="I8" s="202">
        <v>129.5</v>
      </c>
      <c r="J8" s="202">
        <v>3217.3</v>
      </c>
      <c r="K8" s="202">
        <f>I8+J8</f>
        <v>3346.8</v>
      </c>
      <c r="P8" s="126"/>
    </row>
    <row r="9" s="67" customFormat="1" ht="3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'[1]Пухова 17'!$G$37</f>
        <v>38596.57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'[1]Пухова 17'!$G$38</f>
        <v>-362723.22569999995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29.25">
      <c r="A18" s="75" t="s">
        <v>14</v>
      </c>
      <c r="B18" s="41" t="s">
        <v>15</v>
      </c>
      <c r="C18" s="136">
        <f>C19+C20+C21+C22</f>
        <v>9.879999999999999</v>
      </c>
      <c r="D18" s="76">
        <v>396126.14</v>
      </c>
      <c r="E18" s="76">
        <v>379345.24</v>
      </c>
      <c r="F18" s="76">
        <f aca="true" t="shared" si="0" ref="F18:F25">D18</f>
        <v>396126.14</v>
      </c>
      <c r="G18" s="77">
        <f>D18-E18</f>
        <v>16780.900000000023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138724.3364777328</v>
      </c>
      <c r="E19" s="83">
        <f>E18*I19</f>
        <v>132847.62453441296</v>
      </c>
      <c r="F19" s="83">
        <f t="shared" si="0"/>
        <v>138724.3364777328</v>
      </c>
      <c r="G19" s="84">
        <f>D19-E19</f>
        <v>5876.711943319853</v>
      </c>
      <c r="H19" s="146">
        <f>C19</f>
        <v>3.46</v>
      </c>
      <c r="I19" s="67">
        <f>H19/H18</f>
        <v>0.3502024291497976</v>
      </c>
    </row>
    <row r="20" spans="1:9" s="67" customFormat="1" ht="15" customHeight="1">
      <c r="A20" s="81" t="s">
        <v>18</v>
      </c>
      <c r="B20" s="34" t="s">
        <v>19</v>
      </c>
      <c r="C20" s="99">
        <v>1.69</v>
      </c>
      <c r="D20" s="83">
        <f>D18*I20</f>
        <v>67758.41868421053</v>
      </c>
      <c r="E20" s="83">
        <f>E18*I20</f>
        <v>64888.00157894737</v>
      </c>
      <c r="F20" s="83">
        <f t="shared" si="0"/>
        <v>67758.41868421053</v>
      </c>
      <c r="G20" s="84">
        <f>D20-E20</f>
        <v>2870.4171052631573</v>
      </c>
      <c r="H20" s="146">
        <f>C20</f>
        <v>1.69</v>
      </c>
      <c r="I20" s="67">
        <f>H20/H18</f>
        <v>0.17105263157894737</v>
      </c>
    </row>
    <row r="21" spans="1:9" s="67" customFormat="1" ht="15" customHeight="1">
      <c r="A21" s="81" t="s">
        <v>20</v>
      </c>
      <c r="B21" s="34" t="s">
        <v>21</v>
      </c>
      <c r="C21" s="99">
        <v>1.69</v>
      </c>
      <c r="D21" s="83">
        <f>D18*I21</f>
        <v>67758.41868421053</v>
      </c>
      <c r="E21" s="83">
        <f>E18*I21</f>
        <v>64888.00157894737</v>
      </c>
      <c r="F21" s="83">
        <f t="shared" si="0"/>
        <v>67758.41868421053</v>
      </c>
      <c r="G21" s="84">
        <f>D21-E21</f>
        <v>2870.4171052631573</v>
      </c>
      <c r="H21" s="146">
        <f>C21</f>
        <v>1.69</v>
      </c>
      <c r="I21" s="67">
        <f>H21/H18</f>
        <v>0.17105263157894737</v>
      </c>
    </row>
    <row r="22" spans="1:9" s="67" customFormat="1" ht="15" customHeight="1">
      <c r="A22" s="81" t="s">
        <v>22</v>
      </c>
      <c r="B22" s="34" t="s">
        <v>23</v>
      </c>
      <c r="C22" s="99">
        <v>3.04</v>
      </c>
      <c r="D22" s="83">
        <f>D18*I22</f>
        <v>121884.96615384617</v>
      </c>
      <c r="E22" s="83">
        <f>E18*I22</f>
        <v>116721.61230769231</v>
      </c>
      <c r="F22" s="83">
        <f t="shared" si="0"/>
        <v>121884.96615384617</v>
      </c>
      <c r="G22" s="84">
        <f>D22-E22</f>
        <v>5163.353846153856</v>
      </c>
      <c r="H22" s="146">
        <f>C22</f>
        <v>3.04</v>
      </c>
      <c r="I22" s="67">
        <f>H22/H18</f>
        <v>0.3076923076923077</v>
      </c>
    </row>
    <row r="23" spans="1:7" ht="25.5" customHeight="1">
      <c r="A23" s="41" t="s">
        <v>25</v>
      </c>
      <c r="B23" s="141" t="s">
        <v>453</v>
      </c>
      <c r="C23" s="46" t="s">
        <v>339</v>
      </c>
      <c r="D23" s="77">
        <v>28080</v>
      </c>
      <c r="E23" s="77">
        <v>27682.75</v>
      </c>
      <c r="F23" s="77">
        <f>D23</f>
        <v>28080</v>
      </c>
      <c r="G23" s="77">
        <f aca="true" t="shared" si="1" ref="G23:G33">D23-E23</f>
        <v>397.25</v>
      </c>
    </row>
    <row r="24" spans="1:7" ht="15" customHeight="1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 customHeight="1">
      <c r="A25" s="41" t="s">
        <v>29</v>
      </c>
      <c r="B25" s="141" t="s">
        <v>163</v>
      </c>
      <c r="C25" s="203" t="s">
        <v>334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13" ht="15" customHeight="1">
      <c r="A26" s="41" t="s">
        <v>31</v>
      </c>
      <c r="B26" s="141" t="s">
        <v>116</v>
      </c>
      <c r="C26" s="97">
        <v>3</v>
      </c>
      <c r="D26" s="77">
        <v>115824.6</v>
      </c>
      <c r="E26" s="77">
        <v>115177.14</v>
      </c>
      <c r="F26" s="87">
        <f>F43</f>
        <v>-34239.0986</v>
      </c>
      <c r="G26" s="77">
        <f t="shared" si="1"/>
        <v>647.4600000000064</v>
      </c>
      <c r="M26" s="160"/>
    </row>
    <row r="27" spans="1:7" ht="15" customHeight="1">
      <c r="A27" s="41" t="s">
        <v>33</v>
      </c>
      <c r="B27" s="135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 customHeight="1">
      <c r="A28" s="41" t="s">
        <v>35</v>
      </c>
      <c r="B28" s="135" t="s">
        <v>36</v>
      </c>
      <c r="C28" s="97"/>
      <c r="D28" s="77">
        <f>SUM(D29:D32)</f>
        <v>1478443.54</v>
      </c>
      <c r="E28" s="77">
        <f>SUM(E29:E32)</f>
        <v>1462205.65</v>
      </c>
      <c r="F28" s="77">
        <f>SUM(F29:F32)</f>
        <v>1478443.54</v>
      </c>
      <c r="G28" s="77">
        <f t="shared" si="1"/>
        <v>16237.89000000013</v>
      </c>
    </row>
    <row r="29" spans="1:7" ht="15" customHeight="1">
      <c r="A29" s="34" t="s">
        <v>37</v>
      </c>
      <c r="B29" s="34" t="s">
        <v>167</v>
      </c>
      <c r="C29" s="289" t="s">
        <v>406</v>
      </c>
      <c r="D29" s="84">
        <v>36390.19</v>
      </c>
      <c r="E29" s="84">
        <v>36165.44</v>
      </c>
      <c r="F29" s="84">
        <f>D29</f>
        <v>36390.19</v>
      </c>
      <c r="G29" s="84">
        <f t="shared" si="1"/>
        <v>224.75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468345.5</v>
      </c>
      <c r="E30" s="84">
        <v>469843.22</v>
      </c>
      <c r="F30" s="84">
        <f>D30</f>
        <v>468345.5</v>
      </c>
      <c r="G30" s="84">
        <f t="shared" si="1"/>
        <v>-1497.719999999972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289" t="s">
        <v>407</v>
      </c>
      <c r="D32" s="84">
        <v>973707.85</v>
      </c>
      <c r="E32" s="84">
        <v>956196.99</v>
      </c>
      <c r="F32" s="84">
        <f>D32</f>
        <v>973707.85</v>
      </c>
      <c r="G32" s="84">
        <f t="shared" si="1"/>
        <v>17510.859999999986</v>
      </c>
      <c r="H32" s="101"/>
      <c r="I32" s="101"/>
    </row>
    <row r="33" spans="1:9" ht="15">
      <c r="A33" s="192" t="s">
        <v>303</v>
      </c>
      <c r="B33" s="333" t="s">
        <v>308</v>
      </c>
      <c r="C33" s="289"/>
      <c r="D33" s="291">
        <f>3000+4800+3600</f>
        <v>11400</v>
      </c>
      <c r="E33" s="291">
        <v>9735</v>
      </c>
      <c r="F33" s="320">
        <v>0</v>
      </c>
      <c r="G33" s="291">
        <f t="shared" si="1"/>
        <v>1665</v>
      </c>
      <c r="H33" s="101"/>
      <c r="I33" s="101"/>
    </row>
    <row r="34" spans="1:9" ht="15.75" thickBot="1">
      <c r="A34" s="379" t="s">
        <v>328</v>
      </c>
      <c r="B34" s="380"/>
      <c r="C34" s="380"/>
      <c r="D34" s="381"/>
      <c r="E34" s="381"/>
      <c r="F34" s="381"/>
      <c r="G34" s="171"/>
      <c r="H34" s="101"/>
      <c r="I34" s="101"/>
    </row>
    <row r="35" spans="1:10" s="102" customFormat="1" ht="14.25" thickBot="1">
      <c r="A35" s="391" t="s">
        <v>410</v>
      </c>
      <c r="B35" s="392"/>
      <c r="C35" s="392"/>
      <c r="D35" s="65">
        <v>387453.14</v>
      </c>
      <c r="E35" s="66"/>
      <c r="F35" s="66"/>
      <c r="G35" s="66"/>
      <c r="H35" s="62"/>
      <c r="I35" s="62"/>
      <c r="J35" s="101"/>
    </row>
    <row r="36" spans="1:9" s="67" customFormat="1" ht="10.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412</v>
      </c>
      <c r="B37" s="64"/>
      <c r="C37" s="64"/>
      <c r="D37" s="69"/>
      <c r="E37" s="70"/>
      <c r="F37" s="70"/>
      <c r="G37" s="145">
        <f>G14+E27-F27</f>
        <v>38596.57</v>
      </c>
      <c r="H37" s="62"/>
      <c r="I37" s="62"/>
    </row>
    <row r="38" spans="1:9" s="67" customFormat="1" ht="15.75" thickBot="1">
      <c r="A38" s="63" t="s">
        <v>413</v>
      </c>
      <c r="B38" s="64"/>
      <c r="C38" s="64"/>
      <c r="D38" s="69"/>
      <c r="E38" s="70"/>
      <c r="F38" s="70"/>
      <c r="G38" s="145">
        <f>G15+E26-F26</f>
        <v>-213306.98709999994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5.5" customHeight="1">
      <c r="A40" s="463" t="s">
        <v>44</v>
      </c>
      <c r="B40" s="463"/>
      <c r="C40" s="463"/>
      <c r="D40" s="463"/>
      <c r="E40" s="463"/>
      <c r="F40" s="463"/>
      <c r="G40" s="463"/>
      <c r="H40" s="463"/>
      <c r="I40" s="463"/>
    </row>
    <row r="41" ht="24.75" customHeight="1"/>
    <row r="42" spans="1:9" ht="28.5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  <c r="H42" s="172"/>
      <c r="I42" s="172"/>
    </row>
    <row r="43" spans="1:9" s="172" customFormat="1" ht="15">
      <c r="A43" s="109" t="s">
        <v>47</v>
      </c>
      <c r="B43" s="403" t="s">
        <v>111</v>
      </c>
      <c r="C43" s="425"/>
      <c r="D43" s="111"/>
      <c r="E43" s="111"/>
      <c r="F43" s="430">
        <f>SUM(F44:G50)</f>
        <v>-34239.0986</v>
      </c>
      <c r="G43" s="419"/>
      <c r="H43" s="115"/>
      <c r="I43" s="115"/>
    </row>
    <row r="44" spans="1:9" s="207" customFormat="1" ht="15">
      <c r="A44" s="204" t="s">
        <v>16</v>
      </c>
      <c r="B44" s="443" t="s">
        <v>380</v>
      </c>
      <c r="C44" s="444"/>
      <c r="D44" s="205"/>
      <c r="E44" s="365" t="s">
        <v>634</v>
      </c>
      <c r="F44" s="481">
        <v>6818</v>
      </c>
      <c r="G44" s="482"/>
      <c r="H44" s="206"/>
      <c r="I44" s="206"/>
    </row>
    <row r="45" spans="1:9" s="207" customFormat="1" ht="15">
      <c r="A45" s="204" t="s">
        <v>18</v>
      </c>
      <c r="B45" s="443" t="s">
        <v>637</v>
      </c>
      <c r="C45" s="444"/>
      <c r="D45" s="365" t="s">
        <v>638</v>
      </c>
      <c r="E45" s="365">
        <v>1</v>
      </c>
      <c r="F45" s="481">
        <v>4350</v>
      </c>
      <c r="G45" s="482"/>
      <c r="H45" s="206"/>
      <c r="I45" s="206"/>
    </row>
    <row r="46" spans="1:9" s="207" customFormat="1" ht="15">
      <c r="A46" s="204" t="s">
        <v>20</v>
      </c>
      <c r="B46" s="411" t="s">
        <v>702</v>
      </c>
      <c r="C46" s="426"/>
      <c r="D46" s="205"/>
      <c r="E46" s="205"/>
      <c r="F46" s="477">
        <v>15000</v>
      </c>
      <c r="G46" s="478"/>
      <c r="H46" s="206"/>
      <c r="I46" s="206"/>
    </row>
    <row r="47" spans="1:9" s="207" customFormat="1" ht="15">
      <c r="A47" s="140" t="s">
        <v>22</v>
      </c>
      <c r="B47" s="411" t="s">
        <v>703</v>
      </c>
      <c r="C47" s="426"/>
      <c r="D47" s="205"/>
      <c r="E47" s="205"/>
      <c r="F47" s="477">
        <v>12000</v>
      </c>
      <c r="G47" s="478"/>
      <c r="H47" s="206"/>
      <c r="I47" s="206"/>
    </row>
    <row r="48" spans="1:9" s="207" customFormat="1" ht="15">
      <c r="A48" s="204" t="s">
        <v>24</v>
      </c>
      <c r="B48" s="411" t="s">
        <v>786</v>
      </c>
      <c r="C48" s="426"/>
      <c r="D48" s="205"/>
      <c r="E48" s="205"/>
      <c r="F48" s="483">
        <v>-78958.87</v>
      </c>
      <c r="G48" s="484"/>
      <c r="H48" s="206"/>
      <c r="I48" s="206"/>
    </row>
    <row r="49" spans="1:9" s="207" customFormat="1" ht="15">
      <c r="A49" s="204" t="s">
        <v>103</v>
      </c>
      <c r="B49" s="443" t="s">
        <v>659</v>
      </c>
      <c r="C49" s="444"/>
      <c r="D49" s="365" t="s">
        <v>166</v>
      </c>
      <c r="E49" s="365">
        <v>1</v>
      </c>
      <c r="F49" s="481">
        <v>5400</v>
      </c>
      <c r="G49" s="482"/>
      <c r="H49" s="206"/>
      <c r="I49" s="206"/>
    </row>
    <row r="50" spans="1:9" s="115" customFormat="1" ht="13.5" customHeight="1">
      <c r="A50" s="140" t="s">
        <v>104</v>
      </c>
      <c r="B50" s="149" t="s">
        <v>191</v>
      </c>
      <c r="C50" s="150"/>
      <c r="D50" s="119"/>
      <c r="E50" s="119"/>
      <c r="F50" s="479">
        <f>E26*1%</f>
        <v>1151.7714</v>
      </c>
      <c r="G50" s="480"/>
      <c r="H50" s="35"/>
      <c r="I50" s="35"/>
    </row>
    <row r="51" spans="1:9" ht="13.5" customHeight="1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3.5" customHeight="1">
      <c r="A52" s="67" t="s">
        <v>55</v>
      </c>
      <c r="B52" s="67"/>
      <c r="C52" s="67" t="s">
        <v>49</v>
      </c>
      <c r="D52" s="67"/>
      <c r="E52" s="67"/>
      <c r="F52" s="67" t="s">
        <v>90</v>
      </c>
      <c r="G52" s="67"/>
      <c r="H52" s="67"/>
      <c r="I52" s="67"/>
    </row>
    <row r="53" spans="1:9" ht="13.5" customHeight="1">
      <c r="A53" s="67"/>
      <c r="B53" s="67"/>
      <c r="C53" s="67"/>
      <c r="D53" s="67"/>
      <c r="E53" s="67"/>
      <c r="F53" s="127" t="s">
        <v>438</v>
      </c>
      <c r="G53" s="67"/>
      <c r="H53" s="67"/>
      <c r="I53" s="67"/>
    </row>
    <row r="54" spans="1:9" ht="13.5" customHeight="1">
      <c r="A54" s="67" t="s">
        <v>50</v>
      </c>
      <c r="B54" s="67"/>
      <c r="C54" s="67"/>
      <c r="D54" s="67"/>
      <c r="E54" s="67"/>
      <c r="F54" s="67"/>
      <c r="G54" s="67"/>
      <c r="H54" s="67"/>
      <c r="I54" s="67"/>
    </row>
    <row r="55" spans="1:9" ht="13.5" customHeight="1">
      <c r="A55" s="67"/>
      <c r="B55" s="67"/>
      <c r="C55" s="129" t="s">
        <v>51</v>
      </c>
      <c r="D55" s="67"/>
      <c r="E55" s="129"/>
      <c r="F55" s="129"/>
      <c r="G55" s="129"/>
      <c r="H55" s="67"/>
      <c r="I55" s="67"/>
    </row>
  </sheetData>
  <sheetProtection/>
  <mergeCells count="27">
    <mergeCell ref="A1:I1"/>
    <mergeCell ref="A2:I2"/>
    <mergeCell ref="A5:I5"/>
    <mergeCell ref="A10:I10"/>
    <mergeCell ref="A3:K3"/>
    <mergeCell ref="B42:C42"/>
    <mergeCell ref="F42:G42"/>
    <mergeCell ref="A35:C35"/>
    <mergeCell ref="A12:I12"/>
    <mergeCell ref="A11:I11"/>
    <mergeCell ref="F50:G50"/>
    <mergeCell ref="B43:C43"/>
    <mergeCell ref="F45:G45"/>
    <mergeCell ref="B44:C44"/>
    <mergeCell ref="F44:G44"/>
    <mergeCell ref="F43:G43"/>
    <mergeCell ref="B45:C45"/>
    <mergeCell ref="F48:G48"/>
    <mergeCell ref="F49:G49"/>
    <mergeCell ref="B49:C49"/>
    <mergeCell ref="A40:I40"/>
    <mergeCell ref="A34:F34"/>
    <mergeCell ref="B46:C46"/>
    <mergeCell ref="B47:C47"/>
    <mergeCell ref="B48:C48"/>
    <mergeCell ref="F46:G46"/>
    <mergeCell ref="F47:G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PageLayoutView="0" workbookViewId="0" topLeftCell="A40">
      <selection activeCell="A49" sqref="A49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4.00390625" style="35" customWidth="1"/>
    <col min="5" max="5" width="13.710937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710937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.7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3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4.5" customHeight="1"/>
    <row r="7" spans="1:6" s="67" customFormat="1" ht="16.5" customHeight="1">
      <c r="A7" s="67" t="s">
        <v>2</v>
      </c>
      <c r="F7" s="127" t="s">
        <v>79</v>
      </c>
    </row>
    <row r="8" spans="1:6" s="67" customFormat="1" ht="15">
      <c r="A8" s="67" t="s">
        <v>3</v>
      </c>
      <c r="F8" s="295" t="s">
        <v>340</v>
      </c>
    </row>
    <row r="9" s="67" customFormat="1" ht="4.5" customHeight="1"/>
    <row r="10" spans="1:9" s="67" customFormat="1" ht="14.25" customHeight="1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4.25" customHeight="1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'[1]Калинина 4'!$G$37</f>
        <v>21917.31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'[1]Калинина 4'!$G$38</f>
        <v>-295194.7254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15">
      <c r="A18" s="75" t="s">
        <v>14</v>
      </c>
      <c r="B18" s="41" t="s">
        <v>15</v>
      </c>
      <c r="C18" s="136">
        <f>C19+C20+C21+C22</f>
        <v>10.34</v>
      </c>
      <c r="D18" s="76">
        <v>370008.63</v>
      </c>
      <c r="E18" s="76">
        <v>374307.58</v>
      </c>
      <c r="F18" s="76">
        <f>D18</f>
        <v>370008.63</v>
      </c>
      <c r="G18" s="77">
        <f>D18-E18</f>
        <v>-4298.950000000012</v>
      </c>
      <c r="H18" s="146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123813.33266924566</v>
      </c>
      <c r="E19" s="83">
        <f>E18*I19</f>
        <v>125251.85945841394</v>
      </c>
      <c r="F19" s="83">
        <f>D19</f>
        <v>123813.33266924566</v>
      </c>
      <c r="G19" s="84">
        <f>D19-E19</f>
        <v>-1438.5267891682743</v>
      </c>
      <c r="H19" s="146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60475.29832688587</v>
      </c>
      <c r="E20" s="83">
        <f>E18*I20</f>
        <v>61177.93135396518</v>
      </c>
      <c r="F20" s="83">
        <f>D20</f>
        <v>60475.29832688587</v>
      </c>
      <c r="G20" s="84">
        <f>D20-E20</f>
        <v>-702.6330270793042</v>
      </c>
      <c r="H20" s="146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76936.03041586073</v>
      </c>
      <c r="E21" s="83">
        <f>E18*I21</f>
        <v>77829.91266924565</v>
      </c>
      <c r="F21" s="83">
        <f>D21</f>
        <v>76936.03041586073</v>
      </c>
      <c r="G21" s="84">
        <f>D21-E21</f>
        <v>-893.8822533849161</v>
      </c>
      <c r="H21" s="146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108783.96858800774</v>
      </c>
      <c r="E22" s="83">
        <f>E18*I22</f>
        <v>110047.87651837525</v>
      </c>
      <c r="F22" s="83">
        <f>D22</f>
        <v>108783.96858800774</v>
      </c>
      <c r="G22" s="84">
        <f>D22-E22</f>
        <v>-1263.9079303675098</v>
      </c>
      <c r="H22" s="146">
        <f>C22</f>
        <v>3.04</v>
      </c>
      <c r="I22" s="67">
        <f>H22/H18</f>
        <v>0.2940038684719536</v>
      </c>
    </row>
    <row r="23" spans="1:7" ht="15">
      <c r="A23" s="41" t="s">
        <v>25</v>
      </c>
      <c r="B23" s="141" t="s">
        <v>171</v>
      </c>
      <c r="C23" s="142">
        <v>0</v>
      </c>
      <c r="D23" s="77">
        <v>0</v>
      </c>
      <c r="E23" s="77">
        <v>0</v>
      </c>
      <c r="F23" s="77">
        <v>0</v>
      </c>
      <c r="G23" s="77">
        <f aca="true" t="shared" si="0" ref="G23:G33">D23-E23</f>
        <v>0</v>
      </c>
    </row>
    <row r="24" spans="1:7" ht="15">
      <c r="A24" s="41" t="s">
        <v>27</v>
      </c>
      <c r="B24" s="141" t="s">
        <v>28</v>
      </c>
      <c r="C24" s="142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1" t="s">
        <v>163</v>
      </c>
      <c r="C25" s="142" t="s">
        <v>334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13" ht="15">
      <c r="A26" s="41" t="s">
        <v>31</v>
      </c>
      <c r="B26" s="141" t="s">
        <v>116</v>
      </c>
      <c r="C26" s="142">
        <v>4.5</v>
      </c>
      <c r="D26" s="77">
        <v>105735.09</v>
      </c>
      <c r="E26" s="77">
        <v>108177.41</v>
      </c>
      <c r="F26" s="87">
        <f>F43-F28</f>
        <v>31382.8941</v>
      </c>
      <c r="G26" s="77">
        <f t="shared" si="0"/>
        <v>-2442.320000000007</v>
      </c>
      <c r="M26" s="160"/>
    </row>
    <row r="27" spans="1:7" ht="15">
      <c r="A27" s="41" t="s">
        <v>33</v>
      </c>
      <c r="B27" s="135" t="s">
        <v>34</v>
      </c>
      <c r="C27" s="136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13" ht="15">
      <c r="A28" s="41" t="s">
        <v>35</v>
      </c>
      <c r="B28" s="135" t="s">
        <v>454</v>
      </c>
      <c r="C28" s="136" t="s">
        <v>450</v>
      </c>
      <c r="D28" s="77">
        <v>35360</v>
      </c>
      <c r="E28" s="77">
        <v>38087.27</v>
      </c>
      <c r="F28" s="87">
        <v>0</v>
      </c>
      <c r="G28" s="77">
        <f t="shared" si="0"/>
        <v>-2727.269999999997</v>
      </c>
      <c r="M28" s="160"/>
    </row>
    <row r="29" spans="1:7" ht="15">
      <c r="A29" s="41" t="s">
        <v>204</v>
      </c>
      <c r="B29" s="135" t="s">
        <v>36</v>
      </c>
      <c r="C29" s="136"/>
      <c r="D29" s="77">
        <f>SUM(D30:D33)</f>
        <v>1535115.7799999998</v>
      </c>
      <c r="E29" s="77">
        <f>SUM(E30:E33)</f>
        <v>1581073.72</v>
      </c>
      <c r="F29" s="77">
        <f>SUM(F30:F33)</f>
        <v>1535115.7799999998</v>
      </c>
      <c r="G29" s="77">
        <f t="shared" si="0"/>
        <v>-45957.94000000018</v>
      </c>
    </row>
    <row r="30" spans="1:7" ht="15">
      <c r="A30" s="34" t="s">
        <v>206</v>
      </c>
      <c r="B30" s="34" t="s">
        <v>167</v>
      </c>
      <c r="C30" s="289" t="s">
        <v>406</v>
      </c>
      <c r="D30" s="84">
        <v>26439.25</v>
      </c>
      <c r="E30" s="84">
        <v>27675.74</v>
      </c>
      <c r="F30" s="84">
        <f>D30</f>
        <v>26439.25</v>
      </c>
      <c r="G30" s="84">
        <f t="shared" si="0"/>
        <v>-1236.4900000000016</v>
      </c>
    </row>
    <row r="31" spans="1:7" ht="15">
      <c r="A31" s="34" t="s">
        <v>207</v>
      </c>
      <c r="B31" s="34" t="s">
        <v>138</v>
      </c>
      <c r="C31" s="289" t="s">
        <v>409</v>
      </c>
      <c r="D31" s="84">
        <v>222818.83</v>
      </c>
      <c r="E31" s="84">
        <v>223191.44</v>
      </c>
      <c r="F31" s="84">
        <f>D31</f>
        <v>222818.83</v>
      </c>
      <c r="G31" s="84">
        <f t="shared" si="0"/>
        <v>-372.61000000001513</v>
      </c>
    </row>
    <row r="32" spans="1:7" ht="15">
      <c r="A32" s="34" t="s">
        <v>208</v>
      </c>
      <c r="B32" s="34" t="s">
        <v>40</v>
      </c>
      <c r="C32" s="290" t="s">
        <v>408</v>
      </c>
      <c r="D32" s="84">
        <v>336144.22</v>
      </c>
      <c r="E32" s="84">
        <v>327861.69</v>
      </c>
      <c r="F32" s="84">
        <f>D32</f>
        <v>336144.22</v>
      </c>
      <c r="G32" s="84">
        <f t="shared" si="0"/>
        <v>8282.52999999997</v>
      </c>
    </row>
    <row r="33" spans="1:9" ht="15">
      <c r="A33" s="34" t="s">
        <v>209</v>
      </c>
      <c r="B33" s="34" t="s">
        <v>43</v>
      </c>
      <c r="C33" s="289" t="s">
        <v>407</v>
      </c>
      <c r="D33" s="84">
        <v>949713.48</v>
      </c>
      <c r="E33" s="84">
        <v>1002344.85</v>
      </c>
      <c r="F33" s="84">
        <f>D33</f>
        <v>949713.48</v>
      </c>
      <c r="G33" s="84">
        <f t="shared" si="0"/>
        <v>-52631.369999999995</v>
      </c>
      <c r="H33" s="101"/>
      <c r="I33" s="101"/>
    </row>
    <row r="34" spans="1:9" ht="15.75" thickBot="1">
      <c r="A34" s="379" t="s">
        <v>328</v>
      </c>
      <c r="B34" s="380"/>
      <c r="C34" s="380"/>
      <c r="D34" s="381"/>
      <c r="E34" s="381"/>
      <c r="F34" s="381"/>
      <c r="G34" s="171"/>
      <c r="H34" s="101"/>
      <c r="I34" s="101"/>
    </row>
    <row r="35" spans="1:10" s="102" customFormat="1" ht="14.25" thickBot="1">
      <c r="A35" s="391" t="s">
        <v>410</v>
      </c>
      <c r="B35" s="392"/>
      <c r="C35" s="392"/>
      <c r="D35" s="65">
        <v>367388.8</v>
      </c>
      <c r="E35" s="66"/>
      <c r="F35" s="66"/>
      <c r="G35" s="66"/>
      <c r="H35" s="62"/>
      <c r="I35" s="62"/>
      <c r="J35" s="101"/>
    </row>
    <row r="36" spans="1:9" s="67" customFormat="1" ht="9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412</v>
      </c>
      <c r="B37" s="64"/>
      <c r="C37" s="64"/>
      <c r="D37" s="69"/>
      <c r="E37" s="70"/>
      <c r="F37" s="70"/>
      <c r="G37" s="145">
        <f>G14+E27-F27</f>
        <v>21917.31</v>
      </c>
      <c r="H37" s="62"/>
      <c r="I37" s="62"/>
    </row>
    <row r="38" spans="1:13" s="67" customFormat="1" ht="15.75" thickBot="1">
      <c r="A38" s="63" t="s">
        <v>413</v>
      </c>
      <c r="B38" s="64"/>
      <c r="C38" s="64"/>
      <c r="D38" s="69"/>
      <c r="E38" s="70"/>
      <c r="F38" s="70"/>
      <c r="G38" s="145">
        <f>G15+E26+E28-F26-F28</f>
        <v>-180312.9395</v>
      </c>
      <c r="H38" s="62"/>
      <c r="I38" s="62"/>
      <c r="M38" s="146"/>
    </row>
    <row r="39" spans="1:9" s="67" customFormat="1" ht="9.75" customHeight="1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8.5" customHeight="1">
      <c r="A40" s="463" t="s">
        <v>44</v>
      </c>
      <c r="B40" s="463"/>
      <c r="C40" s="463"/>
      <c r="D40" s="463"/>
      <c r="E40" s="463"/>
      <c r="F40" s="463"/>
      <c r="G40" s="463"/>
      <c r="H40" s="463"/>
      <c r="I40" s="463"/>
    </row>
    <row r="42" spans="1:9" ht="28.5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  <c r="H42" s="172"/>
      <c r="I42" s="172"/>
    </row>
    <row r="43" spans="1:9" s="172" customFormat="1" ht="15">
      <c r="A43" s="109" t="s">
        <v>47</v>
      </c>
      <c r="B43" s="403" t="s">
        <v>111</v>
      </c>
      <c r="C43" s="425"/>
      <c r="D43" s="111"/>
      <c r="E43" s="111"/>
      <c r="F43" s="430">
        <f>SUM(F44:L48)</f>
        <v>31382.8941</v>
      </c>
      <c r="G43" s="419"/>
      <c r="H43" s="115"/>
      <c r="I43" s="115"/>
    </row>
    <row r="44" spans="1:9" s="208" customFormat="1" ht="15">
      <c r="A44" s="140" t="s">
        <v>16</v>
      </c>
      <c r="B44" s="443" t="s">
        <v>436</v>
      </c>
      <c r="C44" s="444"/>
      <c r="D44" s="365" t="s">
        <v>236</v>
      </c>
      <c r="E44" s="365">
        <v>1</v>
      </c>
      <c r="F44" s="481">
        <v>1840</v>
      </c>
      <c r="G44" s="486"/>
      <c r="H44" s="35"/>
      <c r="I44" s="35"/>
    </row>
    <row r="45" spans="1:9" s="208" customFormat="1" ht="15">
      <c r="A45" s="140" t="s">
        <v>18</v>
      </c>
      <c r="B45" s="443" t="s">
        <v>658</v>
      </c>
      <c r="C45" s="444"/>
      <c r="D45" s="365" t="s">
        <v>230</v>
      </c>
      <c r="E45" s="365">
        <v>0.01</v>
      </c>
      <c r="F45" s="481">
        <v>9161.12</v>
      </c>
      <c r="G45" s="486"/>
      <c r="H45" s="35"/>
      <c r="I45" s="35"/>
    </row>
    <row r="46" spans="1:9" s="208" customFormat="1" ht="14.25" customHeight="1">
      <c r="A46" s="140" t="s">
        <v>20</v>
      </c>
      <c r="B46" s="411" t="s">
        <v>704</v>
      </c>
      <c r="C46" s="426"/>
      <c r="D46" s="205"/>
      <c r="E46" s="205"/>
      <c r="F46" s="477">
        <v>19300</v>
      </c>
      <c r="G46" s="485"/>
      <c r="H46" s="35"/>
      <c r="I46" s="35"/>
    </row>
    <row r="47" spans="1:9" s="208" customFormat="1" ht="15">
      <c r="A47" s="140" t="s">
        <v>22</v>
      </c>
      <c r="B47" s="411"/>
      <c r="C47" s="426"/>
      <c r="D47" s="205"/>
      <c r="E47" s="205"/>
      <c r="F47" s="477"/>
      <c r="G47" s="485"/>
      <c r="H47" s="35"/>
      <c r="I47" s="35"/>
    </row>
    <row r="48" spans="1:9" s="115" customFormat="1" ht="15">
      <c r="A48" s="140" t="s">
        <v>24</v>
      </c>
      <c r="B48" s="149" t="s">
        <v>191</v>
      </c>
      <c r="C48" s="150"/>
      <c r="D48" s="119"/>
      <c r="E48" s="119"/>
      <c r="F48" s="476">
        <f>E26*1%</f>
        <v>1081.7741</v>
      </c>
      <c r="G48" s="476"/>
      <c r="H48" s="35"/>
      <c r="I48" s="35"/>
    </row>
    <row r="49" spans="1:9" ht="12.7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12.75" customHeight="1">
      <c r="A50" s="67" t="s">
        <v>55</v>
      </c>
      <c r="B50" s="67"/>
      <c r="C50" s="67" t="s">
        <v>49</v>
      </c>
      <c r="D50" s="67"/>
      <c r="E50" s="67"/>
      <c r="F50" s="67" t="s">
        <v>90</v>
      </c>
      <c r="G50" s="67"/>
      <c r="H50" s="67"/>
      <c r="I50" s="67"/>
    </row>
    <row r="51" spans="1:9" ht="12.75" customHeight="1">
      <c r="A51" s="67"/>
      <c r="B51" s="67"/>
      <c r="C51" s="67"/>
      <c r="D51" s="67"/>
      <c r="E51" s="67"/>
      <c r="F51" s="127" t="s">
        <v>438</v>
      </c>
      <c r="G51" s="67"/>
      <c r="H51" s="67"/>
      <c r="I51" s="67"/>
    </row>
    <row r="52" spans="1:9" ht="12.75" customHeight="1">
      <c r="A52" s="67" t="s">
        <v>50</v>
      </c>
      <c r="B52" s="67"/>
      <c r="C52" s="67"/>
      <c r="D52" s="67"/>
      <c r="E52" s="67"/>
      <c r="F52" s="67"/>
      <c r="G52" s="67"/>
      <c r="H52" s="67"/>
      <c r="I52" s="67"/>
    </row>
    <row r="53" spans="1:9" ht="12.75" customHeight="1">
      <c r="A53" s="67"/>
      <c r="B53" s="67"/>
      <c r="C53" s="129" t="s">
        <v>51</v>
      </c>
      <c r="D53" s="67"/>
      <c r="E53" s="129"/>
      <c r="F53" s="129"/>
      <c r="G53" s="129"/>
      <c r="H53" s="67"/>
      <c r="I53" s="67"/>
    </row>
  </sheetData>
  <sheetProtection/>
  <mergeCells count="23">
    <mergeCell ref="A12:I12"/>
    <mergeCell ref="F43:G43"/>
    <mergeCell ref="A35:C35"/>
    <mergeCell ref="A40:I40"/>
    <mergeCell ref="B42:C42"/>
    <mergeCell ref="A34:F34"/>
    <mergeCell ref="F48:G48"/>
    <mergeCell ref="F46:G46"/>
    <mergeCell ref="F44:G44"/>
    <mergeCell ref="F45:G45"/>
    <mergeCell ref="B47:C47"/>
    <mergeCell ref="F47:G47"/>
    <mergeCell ref="B45:C45"/>
    <mergeCell ref="A1:I1"/>
    <mergeCell ref="A2:I2"/>
    <mergeCell ref="A5:I5"/>
    <mergeCell ref="A10:I10"/>
    <mergeCell ref="A3:K3"/>
    <mergeCell ref="B46:C46"/>
    <mergeCell ref="B43:C43"/>
    <mergeCell ref="B44:C44"/>
    <mergeCell ref="F42:G42"/>
    <mergeCell ref="A11:I1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V49"/>
  <sheetViews>
    <sheetView zoomScalePageLayoutView="0" workbookViewId="0" topLeftCell="A35">
      <selection activeCell="A45" sqref="A45"/>
    </sheetView>
  </sheetViews>
  <sheetFormatPr defaultColWidth="9.140625" defaultRowHeight="15" outlineLevelCol="1"/>
  <cols>
    <col min="1" max="1" width="5.57421875" style="35" customWidth="1"/>
    <col min="2" max="2" width="51.00390625" style="35" customWidth="1"/>
    <col min="3" max="3" width="13.00390625" style="35" customWidth="1"/>
    <col min="4" max="4" width="12.8515625" style="35" customWidth="1"/>
    <col min="5" max="5" width="12.7109375" style="35" customWidth="1"/>
    <col min="6" max="6" width="14.0039062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21" width="9.140625" style="35" customWidth="1"/>
    <col min="22" max="22" width="11.421875" style="35" bestFit="1" customWidth="1"/>
    <col min="23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7.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6" customHeight="1"/>
    <row r="7" spans="1:9" s="67" customFormat="1" ht="16.5" customHeight="1">
      <c r="A7" s="67" t="s">
        <v>2</v>
      </c>
      <c r="F7" s="127" t="s">
        <v>251</v>
      </c>
      <c r="I7" s="202">
        <v>52.9</v>
      </c>
    </row>
    <row r="8" spans="1:11" s="67" customFormat="1" ht="15">
      <c r="A8" s="67" t="s">
        <v>3</v>
      </c>
      <c r="F8" s="295" t="s">
        <v>457</v>
      </c>
      <c r="I8" s="202">
        <v>78.3</v>
      </c>
      <c r="J8" s="202">
        <v>5152.8</v>
      </c>
      <c r="K8" s="202">
        <f>I8+J8+I7</f>
        <v>5284</v>
      </c>
    </row>
    <row r="9" s="67" customFormat="1" ht="6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455</v>
      </c>
      <c r="B14" s="64"/>
      <c r="C14" s="64"/>
      <c r="D14" s="69"/>
      <c r="E14" s="70"/>
      <c r="F14" s="70"/>
      <c r="G14" s="145">
        <f>'[1]Тельмана 10'!$G$37</f>
        <v>0</v>
      </c>
      <c r="H14" s="62"/>
      <c r="I14" s="62"/>
    </row>
    <row r="15" spans="1:9" s="67" customFormat="1" ht="15.75" thickBot="1">
      <c r="A15" s="63" t="s">
        <v>456</v>
      </c>
      <c r="B15" s="64"/>
      <c r="C15" s="64"/>
      <c r="D15" s="69"/>
      <c r="E15" s="70"/>
      <c r="F15" s="70"/>
      <c r="G15" s="145">
        <f>'[1]Тельмана 10'!$G$38</f>
        <v>-189612.4596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15.75" customHeight="1">
      <c r="A18" s="75" t="s">
        <v>14</v>
      </c>
      <c r="B18" s="41" t="s">
        <v>15</v>
      </c>
      <c r="C18" s="136">
        <f>C19+C20+C21+C22</f>
        <v>9.879999999999999</v>
      </c>
      <c r="D18" s="76">
        <v>717500.6</v>
      </c>
      <c r="E18" s="76">
        <v>621218.32</v>
      </c>
      <c r="F18" s="76">
        <f aca="true" t="shared" si="0" ref="F18:F25">D18</f>
        <v>717500.6</v>
      </c>
      <c r="G18" s="77">
        <f>D18-E18</f>
        <v>96282.28000000003</v>
      </c>
      <c r="H18" s="146">
        <f>C18</f>
        <v>9.879999999999999</v>
      </c>
    </row>
    <row r="19" spans="1:9" s="67" customFormat="1" ht="15.75" customHeight="1">
      <c r="A19" s="81" t="s">
        <v>16</v>
      </c>
      <c r="B19" s="34" t="s">
        <v>17</v>
      </c>
      <c r="C19" s="99">
        <v>3.46</v>
      </c>
      <c r="D19" s="83">
        <f>D18*I19</f>
        <v>251270.45303643725</v>
      </c>
      <c r="E19" s="83">
        <f>E18*I19</f>
        <v>217552.16469635628</v>
      </c>
      <c r="F19" s="83">
        <f t="shared" si="0"/>
        <v>251270.45303643725</v>
      </c>
      <c r="G19" s="84">
        <f>D19-E19</f>
        <v>33718.288340080966</v>
      </c>
      <c r="H19" s="146">
        <f>C19</f>
        <v>3.46</v>
      </c>
      <c r="I19" s="67">
        <f>H19/H18</f>
        <v>0.3502024291497976</v>
      </c>
    </row>
    <row r="20" spans="1:9" s="67" customFormat="1" ht="15.75" customHeight="1">
      <c r="A20" s="81" t="s">
        <v>18</v>
      </c>
      <c r="B20" s="34" t="s">
        <v>19</v>
      </c>
      <c r="C20" s="99">
        <v>1.69</v>
      </c>
      <c r="D20" s="83">
        <f>D18*I20</f>
        <v>122730.36578947368</v>
      </c>
      <c r="E20" s="83">
        <f>E18*I20</f>
        <v>106261.02842105263</v>
      </c>
      <c r="F20" s="83">
        <f t="shared" si="0"/>
        <v>122730.36578947368</v>
      </c>
      <c r="G20" s="84">
        <f>D20-E20</f>
        <v>16469.337368421053</v>
      </c>
      <c r="H20" s="146">
        <f>C20</f>
        <v>1.69</v>
      </c>
      <c r="I20" s="67">
        <f>H20/H18</f>
        <v>0.17105263157894737</v>
      </c>
    </row>
    <row r="21" spans="1:9" s="67" customFormat="1" ht="15.75" customHeight="1">
      <c r="A21" s="81" t="s">
        <v>20</v>
      </c>
      <c r="B21" s="34" t="s">
        <v>21</v>
      </c>
      <c r="C21" s="99">
        <v>1.69</v>
      </c>
      <c r="D21" s="83">
        <f>D18*I21</f>
        <v>122730.36578947368</v>
      </c>
      <c r="E21" s="83">
        <f>E18*I21</f>
        <v>106261.02842105263</v>
      </c>
      <c r="F21" s="83">
        <f t="shared" si="0"/>
        <v>122730.36578947368</v>
      </c>
      <c r="G21" s="84">
        <f>D21-E21</f>
        <v>16469.337368421053</v>
      </c>
      <c r="H21" s="146">
        <f>C21</f>
        <v>1.69</v>
      </c>
      <c r="I21" s="67">
        <f>H21/H18</f>
        <v>0.17105263157894737</v>
      </c>
    </row>
    <row r="22" spans="1:9" s="67" customFormat="1" ht="15.75" customHeight="1">
      <c r="A22" s="81" t="s">
        <v>22</v>
      </c>
      <c r="B22" s="34" t="s">
        <v>23</v>
      </c>
      <c r="C22" s="99">
        <v>3.04</v>
      </c>
      <c r="D22" s="83">
        <f>D18*I22</f>
        <v>220769.4153846154</v>
      </c>
      <c r="E22" s="83">
        <f>E18*I22</f>
        <v>191144.09846153847</v>
      </c>
      <c r="F22" s="83">
        <f t="shared" si="0"/>
        <v>220769.4153846154</v>
      </c>
      <c r="G22" s="84">
        <f>D22-E22</f>
        <v>29625.316923076927</v>
      </c>
      <c r="H22" s="146">
        <f>C22</f>
        <v>3.04</v>
      </c>
      <c r="I22" s="67">
        <f>H22/H18</f>
        <v>0.3076923076923077</v>
      </c>
    </row>
    <row r="23" spans="1:7" ht="24.75" customHeight="1">
      <c r="A23" s="41" t="s">
        <v>25</v>
      </c>
      <c r="B23" s="141" t="s">
        <v>341</v>
      </c>
      <c r="C23" s="46" t="s">
        <v>342</v>
      </c>
      <c r="D23" s="77">
        <v>36000</v>
      </c>
      <c r="E23" s="77">
        <v>35388.53</v>
      </c>
      <c r="F23" s="77">
        <f t="shared" si="0"/>
        <v>36000</v>
      </c>
      <c r="G23" s="77">
        <f aca="true" t="shared" si="1" ref="G23:G33">D23-E23</f>
        <v>611.4700000000012</v>
      </c>
    </row>
    <row r="24" spans="1:7" ht="15.75" customHeight="1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22" ht="15.75" customHeight="1">
      <c r="A25" s="41" t="s">
        <v>29</v>
      </c>
      <c r="B25" s="141" t="s">
        <v>163</v>
      </c>
      <c r="C25" s="203" t="s">
        <v>334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  <c r="N25" s="38"/>
      <c r="O25" s="38"/>
      <c r="P25" s="38"/>
      <c r="Q25" s="38"/>
      <c r="R25" s="38"/>
      <c r="S25" s="38"/>
      <c r="T25" s="38"/>
      <c r="U25" s="38"/>
      <c r="V25" s="38"/>
    </row>
    <row r="26" spans="1:13" ht="15.75" customHeight="1">
      <c r="A26" s="41" t="s">
        <v>31</v>
      </c>
      <c r="B26" s="141" t="s">
        <v>116</v>
      </c>
      <c r="C26" s="97">
        <v>1.86</v>
      </c>
      <c r="D26" s="77">
        <v>116823.09</v>
      </c>
      <c r="E26" s="77">
        <v>116209.57</v>
      </c>
      <c r="F26" s="87">
        <f>F42</f>
        <v>1162.0957</v>
      </c>
      <c r="G26" s="77">
        <f t="shared" si="1"/>
        <v>613.5199999999895</v>
      </c>
      <c r="M26" s="160"/>
    </row>
    <row r="27" spans="1:13" ht="15.75" customHeight="1">
      <c r="A27" s="41" t="s">
        <v>31</v>
      </c>
      <c r="B27" s="343" t="s">
        <v>381</v>
      </c>
      <c r="C27" s="344">
        <v>0</v>
      </c>
      <c r="D27" s="77">
        <v>0</v>
      </c>
      <c r="E27" s="77">
        <v>110350.06</v>
      </c>
      <c r="F27" s="87">
        <v>0</v>
      </c>
      <c r="G27" s="77">
        <f t="shared" si="1"/>
        <v>-110350.06</v>
      </c>
      <c r="M27" s="160"/>
    </row>
    <row r="28" spans="1:7" ht="15.75" customHeight="1">
      <c r="A28" s="41" t="s">
        <v>33</v>
      </c>
      <c r="B28" s="135" t="s">
        <v>34</v>
      </c>
      <c r="C28" s="46">
        <v>0</v>
      </c>
      <c r="D28" s="77">
        <v>0</v>
      </c>
      <c r="E28" s="77">
        <v>0</v>
      </c>
      <c r="F28" s="87">
        <v>0</v>
      </c>
      <c r="G28" s="77">
        <f t="shared" si="1"/>
        <v>0</v>
      </c>
    </row>
    <row r="29" spans="1:7" ht="15.75" customHeight="1">
      <c r="A29" s="41" t="s">
        <v>35</v>
      </c>
      <c r="B29" s="135" t="s">
        <v>36</v>
      </c>
      <c r="C29" s="97"/>
      <c r="D29" s="77">
        <f>SUM(D30:D33)</f>
        <v>2429211.15</v>
      </c>
      <c r="E29" s="77">
        <f>SUM(E30:E33)</f>
        <v>2422864.99</v>
      </c>
      <c r="F29" s="77">
        <f>SUM(F30:F33)</f>
        <v>2429211.15</v>
      </c>
      <c r="G29" s="77">
        <f t="shared" si="1"/>
        <v>6346.159999999683</v>
      </c>
    </row>
    <row r="30" spans="1:7" ht="15.75" customHeight="1">
      <c r="A30" s="34" t="s">
        <v>37</v>
      </c>
      <c r="B30" s="34" t="s">
        <v>167</v>
      </c>
      <c r="C30" s="289" t="s">
        <v>406</v>
      </c>
      <c r="D30" s="84">
        <v>68584.8</v>
      </c>
      <c r="E30" s="84">
        <v>69474.06</v>
      </c>
      <c r="F30" s="84">
        <f>D30</f>
        <v>68584.8</v>
      </c>
      <c r="G30" s="84">
        <f t="shared" si="1"/>
        <v>-889.2599999999948</v>
      </c>
    </row>
    <row r="31" spans="1:7" ht="15.75" customHeight="1">
      <c r="A31" s="34" t="s">
        <v>39</v>
      </c>
      <c r="B31" s="34" t="s">
        <v>138</v>
      </c>
      <c r="C31" s="289" t="s">
        <v>409</v>
      </c>
      <c r="D31" s="84">
        <v>694941.72</v>
      </c>
      <c r="E31" s="84">
        <v>698980.39</v>
      </c>
      <c r="F31" s="84">
        <f>D31</f>
        <v>694941.72</v>
      </c>
      <c r="G31" s="84">
        <f t="shared" si="1"/>
        <v>-4038.670000000042</v>
      </c>
    </row>
    <row r="32" spans="1:7" ht="15.75" customHeight="1">
      <c r="A32" s="34" t="s">
        <v>42</v>
      </c>
      <c r="B32" s="34" t="s">
        <v>40</v>
      </c>
      <c r="C32" s="290">
        <v>0</v>
      </c>
      <c r="D32" s="84">
        <v>0</v>
      </c>
      <c r="E32" s="84">
        <v>0</v>
      </c>
      <c r="F32" s="84">
        <f>D32</f>
        <v>0</v>
      </c>
      <c r="G32" s="84">
        <f t="shared" si="1"/>
        <v>0</v>
      </c>
    </row>
    <row r="33" spans="1:9" ht="15.75" customHeight="1">
      <c r="A33" s="34" t="s">
        <v>41</v>
      </c>
      <c r="B33" s="34" t="s">
        <v>43</v>
      </c>
      <c r="C33" s="289" t="s">
        <v>407</v>
      </c>
      <c r="D33" s="84">
        <v>1665684.63</v>
      </c>
      <c r="E33" s="84">
        <v>1654410.54</v>
      </c>
      <c r="F33" s="84">
        <f>D33</f>
        <v>1665684.63</v>
      </c>
      <c r="G33" s="84">
        <f t="shared" si="1"/>
        <v>11274.089999999851</v>
      </c>
      <c r="H33" s="101"/>
      <c r="I33" s="101"/>
    </row>
    <row r="34" spans="1:9" ht="15.75" customHeight="1" thickBot="1">
      <c r="A34" s="379" t="s">
        <v>328</v>
      </c>
      <c r="B34" s="380"/>
      <c r="C34" s="380"/>
      <c r="D34" s="381"/>
      <c r="E34" s="381"/>
      <c r="F34" s="381"/>
      <c r="G34" s="171"/>
      <c r="H34" s="101"/>
      <c r="I34" s="101"/>
    </row>
    <row r="35" spans="1:10" s="102" customFormat="1" ht="14.25" thickBot="1">
      <c r="A35" s="391" t="s">
        <v>410</v>
      </c>
      <c r="B35" s="392"/>
      <c r="C35" s="392"/>
      <c r="D35" s="65">
        <v>575608.92</v>
      </c>
      <c r="E35" s="66"/>
      <c r="F35" s="66"/>
      <c r="G35" s="66"/>
      <c r="H35" s="62"/>
      <c r="I35" s="62"/>
      <c r="J35" s="101"/>
    </row>
    <row r="36" spans="1:9" s="67" customFormat="1" ht="8.2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412</v>
      </c>
      <c r="B37" s="64"/>
      <c r="C37" s="64"/>
      <c r="D37" s="69"/>
      <c r="E37" s="70"/>
      <c r="F37" s="70"/>
      <c r="G37" s="145">
        <f>G14+E28-F28</f>
        <v>0</v>
      </c>
      <c r="H37" s="62"/>
      <c r="I37" s="62"/>
    </row>
    <row r="38" spans="1:9" s="67" customFormat="1" ht="15.75" thickBot="1">
      <c r="A38" s="63" t="s">
        <v>413</v>
      </c>
      <c r="B38" s="64"/>
      <c r="C38" s="64"/>
      <c r="D38" s="69"/>
      <c r="E38" s="70"/>
      <c r="F38" s="70"/>
      <c r="G38" s="145">
        <f>G15+E26-F26+E27-F27</f>
        <v>35785.0747</v>
      </c>
      <c r="H38" s="62"/>
      <c r="I38" s="62"/>
    </row>
    <row r="39" spans="1:9" s="67" customFormat="1" ht="27.75" customHeight="1">
      <c r="A39" s="463" t="s">
        <v>44</v>
      </c>
      <c r="B39" s="463"/>
      <c r="C39" s="463"/>
      <c r="D39" s="463"/>
      <c r="E39" s="463"/>
      <c r="F39" s="463"/>
      <c r="G39" s="463"/>
      <c r="H39" s="463"/>
      <c r="I39" s="463"/>
    </row>
    <row r="41" spans="1:9" ht="28.5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20"/>
      <c r="H41" s="172"/>
      <c r="I41" s="172"/>
    </row>
    <row r="42" spans="1:9" s="172" customFormat="1" ht="15">
      <c r="A42" s="109" t="s">
        <v>47</v>
      </c>
      <c r="B42" s="403" t="s">
        <v>111</v>
      </c>
      <c r="C42" s="425"/>
      <c r="D42" s="111"/>
      <c r="E42" s="111"/>
      <c r="F42" s="430">
        <f>SUM(F43:L44)</f>
        <v>1162.0957</v>
      </c>
      <c r="G42" s="419"/>
      <c r="H42" s="115"/>
      <c r="I42" s="115"/>
    </row>
    <row r="43" spans="1:7" ht="18.75" customHeight="1">
      <c r="A43" s="34" t="s">
        <v>16</v>
      </c>
      <c r="B43" s="382"/>
      <c r="C43" s="384"/>
      <c r="D43" s="119"/>
      <c r="E43" s="119"/>
      <c r="F43" s="429"/>
      <c r="G43" s="429"/>
    </row>
    <row r="44" spans="1:7" ht="15">
      <c r="A44" s="34" t="s">
        <v>18</v>
      </c>
      <c r="B44" s="149" t="s">
        <v>191</v>
      </c>
      <c r="C44" s="150"/>
      <c r="D44" s="119"/>
      <c r="E44" s="119"/>
      <c r="F44" s="429">
        <f>E26*1%</f>
        <v>1162.0957</v>
      </c>
      <c r="G44" s="429"/>
    </row>
    <row r="45" spans="1:9" ht="15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5" customHeight="1">
      <c r="A46" s="67" t="s">
        <v>55</v>
      </c>
      <c r="B46" s="67"/>
      <c r="C46" s="67" t="s">
        <v>49</v>
      </c>
      <c r="D46" s="67"/>
      <c r="E46" s="67"/>
      <c r="F46" s="67" t="s">
        <v>90</v>
      </c>
      <c r="G46" s="67"/>
      <c r="H46" s="67"/>
      <c r="I46" s="67"/>
    </row>
    <row r="47" spans="1:9" ht="15">
      <c r="A47" s="67"/>
      <c r="B47" s="67"/>
      <c r="C47" s="67"/>
      <c r="D47" s="67"/>
      <c r="E47" s="67"/>
      <c r="F47" s="127" t="s">
        <v>438</v>
      </c>
      <c r="G47" s="67"/>
      <c r="H47" s="67"/>
      <c r="I47" s="67"/>
    </row>
    <row r="48" s="67" customFormat="1" ht="15">
      <c r="A48" s="67" t="s">
        <v>50</v>
      </c>
    </row>
    <row r="49" spans="3:7" s="67" customFormat="1" ht="13.5" customHeight="1">
      <c r="C49" s="129" t="s">
        <v>51</v>
      </c>
      <c r="E49" s="129"/>
      <c r="F49" s="129"/>
      <c r="G49" s="129"/>
    </row>
    <row r="50" s="67" customFormat="1" ht="15"/>
  </sheetData>
  <sheetProtection/>
  <mergeCells count="17">
    <mergeCell ref="A11:I11"/>
    <mergeCell ref="A12:I12"/>
    <mergeCell ref="A35:C35"/>
    <mergeCell ref="A39:I39"/>
    <mergeCell ref="B41:C41"/>
    <mergeCell ref="F41:G41"/>
    <mergeCell ref="A34:F34"/>
    <mergeCell ref="A1:I1"/>
    <mergeCell ref="A2:I2"/>
    <mergeCell ref="A3:K3"/>
    <mergeCell ref="A5:I5"/>
    <mergeCell ref="A10:I10"/>
    <mergeCell ref="F44:G44"/>
    <mergeCell ref="B42:C42"/>
    <mergeCell ref="F42:G42"/>
    <mergeCell ref="B43:C43"/>
    <mergeCell ref="F43:G4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"/>
  <sheetViews>
    <sheetView zoomScalePageLayoutView="0" workbookViewId="0" topLeftCell="A42">
      <selection activeCell="A47" sqref="A47"/>
    </sheetView>
  </sheetViews>
  <sheetFormatPr defaultColWidth="9.140625" defaultRowHeight="15" outlineLevelCol="1"/>
  <cols>
    <col min="1" max="1" width="5.57421875" style="35" customWidth="1"/>
    <col min="2" max="2" width="51.00390625" style="35" customWidth="1"/>
    <col min="3" max="3" width="13.00390625" style="35" customWidth="1"/>
    <col min="4" max="4" width="12.8515625" style="35" customWidth="1"/>
    <col min="5" max="5" width="12.7109375" style="35" customWidth="1"/>
    <col min="6" max="6" width="14.0039062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7.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6" customHeight="1"/>
    <row r="7" spans="1:6" s="67" customFormat="1" ht="16.5" customHeight="1">
      <c r="A7" s="67" t="s">
        <v>2</v>
      </c>
      <c r="F7" s="127" t="s">
        <v>80</v>
      </c>
    </row>
    <row r="8" spans="1:6" s="67" customFormat="1" ht="15">
      <c r="A8" s="67" t="s">
        <v>3</v>
      </c>
      <c r="F8" s="295" t="s">
        <v>81</v>
      </c>
    </row>
    <row r="9" s="67" customFormat="1" ht="6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'[1]Пионерская 18'!$G$37</f>
        <v>23089.4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'[1]Пионерская 18'!$G$38</f>
        <v>-219267.75059999997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15.75" customHeight="1">
      <c r="A18" s="75" t="s">
        <v>14</v>
      </c>
      <c r="B18" s="41" t="s">
        <v>15</v>
      </c>
      <c r="C18" s="136">
        <f>C19+C20+C21+C22</f>
        <v>9.879999999999999</v>
      </c>
      <c r="D18" s="76">
        <v>349125.67</v>
      </c>
      <c r="E18" s="76">
        <v>357055.21</v>
      </c>
      <c r="F18" s="76">
        <f aca="true" t="shared" si="0" ref="F18:F25">D18</f>
        <v>349125.67</v>
      </c>
      <c r="G18" s="77">
        <f>D18-E18</f>
        <v>-7929.540000000037</v>
      </c>
      <c r="H18" s="146">
        <f>C18</f>
        <v>9.879999999999999</v>
      </c>
    </row>
    <row r="19" spans="1:9" s="67" customFormat="1" ht="15.75" customHeight="1">
      <c r="A19" s="81" t="s">
        <v>16</v>
      </c>
      <c r="B19" s="34" t="s">
        <v>17</v>
      </c>
      <c r="C19" s="99">
        <v>3.46</v>
      </c>
      <c r="D19" s="83">
        <f>D18*I19</f>
        <v>122264.65771255062</v>
      </c>
      <c r="E19" s="83">
        <f>E18*I19</f>
        <v>125041.60188259112</v>
      </c>
      <c r="F19" s="83">
        <f t="shared" si="0"/>
        <v>122264.65771255062</v>
      </c>
      <c r="G19" s="84">
        <f>D19-E19</f>
        <v>-2776.9441700405005</v>
      </c>
      <c r="H19" s="146">
        <f>C19</f>
        <v>3.46</v>
      </c>
      <c r="I19" s="67">
        <f>H19/H18</f>
        <v>0.3502024291497976</v>
      </c>
    </row>
    <row r="20" spans="1:9" s="67" customFormat="1" ht="15.75" customHeight="1">
      <c r="A20" s="81" t="s">
        <v>18</v>
      </c>
      <c r="B20" s="34" t="s">
        <v>19</v>
      </c>
      <c r="C20" s="99">
        <v>1.69</v>
      </c>
      <c r="D20" s="83">
        <f>D18*I20</f>
        <v>59718.86460526316</v>
      </c>
      <c r="E20" s="83">
        <f>E18*I20</f>
        <v>61075.23328947369</v>
      </c>
      <c r="F20" s="83">
        <f t="shared" si="0"/>
        <v>59718.86460526316</v>
      </c>
      <c r="G20" s="84">
        <f>D20-E20</f>
        <v>-1356.3686842105308</v>
      </c>
      <c r="H20" s="146">
        <f>C20</f>
        <v>1.69</v>
      </c>
      <c r="I20" s="67">
        <f>H20/H18</f>
        <v>0.17105263157894737</v>
      </c>
    </row>
    <row r="21" spans="1:9" s="67" customFormat="1" ht="15.75" customHeight="1">
      <c r="A21" s="81" t="s">
        <v>20</v>
      </c>
      <c r="B21" s="34" t="s">
        <v>21</v>
      </c>
      <c r="C21" s="99">
        <v>1.69</v>
      </c>
      <c r="D21" s="83">
        <f>D18*I21</f>
        <v>59718.86460526316</v>
      </c>
      <c r="E21" s="83">
        <f>E18*I21</f>
        <v>61075.23328947369</v>
      </c>
      <c r="F21" s="83">
        <f t="shared" si="0"/>
        <v>59718.86460526316</v>
      </c>
      <c r="G21" s="84">
        <f>D21-E21</f>
        <v>-1356.3686842105308</v>
      </c>
      <c r="H21" s="146">
        <f>C21</f>
        <v>1.69</v>
      </c>
      <c r="I21" s="67">
        <f>H21/H18</f>
        <v>0.17105263157894737</v>
      </c>
    </row>
    <row r="22" spans="1:9" s="67" customFormat="1" ht="15.75" customHeight="1">
      <c r="A22" s="81" t="s">
        <v>22</v>
      </c>
      <c r="B22" s="34" t="s">
        <v>23</v>
      </c>
      <c r="C22" s="99">
        <v>3.04</v>
      </c>
      <c r="D22" s="83">
        <f>D18*I22</f>
        <v>107423.28307692308</v>
      </c>
      <c r="E22" s="83">
        <f>E18*I22</f>
        <v>109863.14153846155</v>
      </c>
      <c r="F22" s="83">
        <f t="shared" si="0"/>
        <v>107423.28307692308</v>
      </c>
      <c r="G22" s="84">
        <f>D22-E22</f>
        <v>-2439.8584615384752</v>
      </c>
      <c r="H22" s="146">
        <f>C22</f>
        <v>3.04</v>
      </c>
      <c r="I22" s="67">
        <f>H22/H18</f>
        <v>0.3076923076923077</v>
      </c>
    </row>
    <row r="23" spans="1:7" ht="15.75" customHeight="1">
      <c r="A23" s="41" t="s">
        <v>25</v>
      </c>
      <c r="B23" s="141" t="s">
        <v>137</v>
      </c>
      <c r="C23" s="46">
        <v>0</v>
      </c>
      <c r="D23" s="77">
        <v>0</v>
      </c>
      <c r="E23" s="77">
        <v>0</v>
      </c>
      <c r="F23" s="77">
        <f t="shared" si="0"/>
        <v>0</v>
      </c>
      <c r="G23" s="77">
        <f aca="true" t="shared" si="1" ref="G23:G33">D23-E23</f>
        <v>0</v>
      </c>
    </row>
    <row r="24" spans="1:7" ht="15.75" customHeight="1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11" ht="15.75" customHeight="1">
      <c r="A25" s="41" t="s">
        <v>29</v>
      </c>
      <c r="B25" s="141" t="s">
        <v>163</v>
      </c>
      <c r="C25" s="203" t="s">
        <v>333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  <c r="H25" s="209">
        <v>1</v>
      </c>
      <c r="I25" s="209">
        <v>1</v>
      </c>
      <c r="J25" s="487" t="s">
        <v>282</v>
      </c>
      <c r="K25" s="488"/>
    </row>
    <row r="26" spans="1:13" ht="15.75" customHeight="1">
      <c r="A26" s="41" t="s">
        <v>31</v>
      </c>
      <c r="B26" s="141" t="s">
        <v>116</v>
      </c>
      <c r="C26" s="97">
        <v>1.86</v>
      </c>
      <c r="D26" s="77">
        <v>62966.52</v>
      </c>
      <c r="E26" s="77">
        <v>66843.5</v>
      </c>
      <c r="F26" s="87">
        <f>F43</f>
        <v>9131.414999999999</v>
      </c>
      <c r="G26" s="77">
        <f t="shared" si="1"/>
        <v>-3876.980000000003</v>
      </c>
      <c r="M26" s="160"/>
    </row>
    <row r="27" spans="1:7" ht="15.75" customHeight="1">
      <c r="A27" s="41" t="s">
        <v>33</v>
      </c>
      <c r="B27" s="135" t="s">
        <v>34</v>
      </c>
      <c r="C27" s="46">
        <v>0</v>
      </c>
      <c r="D27" s="77">
        <v>0</v>
      </c>
      <c r="E27" s="77">
        <v>1264.45</v>
      </c>
      <c r="F27" s="87">
        <v>0</v>
      </c>
      <c r="G27" s="77">
        <f t="shared" si="1"/>
        <v>-1264.45</v>
      </c>
    </row>
    <row r="28" spans="1:7" ht="15.75" customHeight="1">
      <c r="A28" s="41" t="s">
        <v>35</v>
      </c>
      <c r="B28" s="135" t="s">
        <v>36</v>
      </c>
      <c r="C28" s="97"/>
      <c r="D28" s="77">
        <f>SUM(D29:D32)</f>
        <v>1401492.76</v>
      </c>
      <c r="E28" s="77">
        <f>SUM(E29:E32)</f>
        <v>1455077.48</v>
      </c>
      <c r="F28" s="77">
        <f>SUM(F29:F32)</f>
        <v>1401492.76</v>
      </c>
      <c r="G28" s="77">
        <f t="shared" si="1"/>
        <v>-53584.71999999997</v>
      </c>
    </row>
    <row r="29" spans="1:7" ht="15.75" customHeight="1">
      <c r="A29" s="34" t="s">
        <v>37</v>
      </c>
      <c r="B29" s="34" t="s">
        <v>167</v>
      </c>
      <c r="C29" s="289" t="s">
        <v>406</v>
      </c>
      <c r="D29" s="84">
        <v>34037.96</v>
      </c>
      <c r="E29" s="84">
        <v>36651.98</v>
      </c>
      <c r="F29" s="84">
        <f>D29</f>
        <v>34037.96</v>
      </c>
      <c r="G29" s="84">
        <f t="shared" si="1"/>
        <v>-2614.020000000004</v>
      </c>
    </row>
    <row r="30" spans="1:7" ht="15.75" customHeight="1">
      <c r="A30" s="34" t="s">
        <v>39</v>
      </c>
      <c r="B30" s="34" t="s">
        <v>138</v>
      </c>
      <c r="C30" s="289" t="s">
        <v>409</v>
      </c>
      <c r="D30" s="84">
        <v>345907.86</v>
      </c>
      <c r="E30" s="84">
        <v>342515.64</v>
      </c>
      <c r="F30" s="84">
        <f>D30</f>
        <v>345907.86</v>
      </c>
      <c r="G30" s="84">
        <f t="shared" si="1"/>
        <v>3392.219999999972</v>
      </c>
    </row>
    <row r="31" spans="1:7" ht="15.75" customHeight="1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.75" customHeight="1">
      <c r="A32" s="34" t="s">
        <v>41</v>
      </c>
      <c r="B32" s="34" t="s">
        <v>43</v>
      </c>
      <c r="C32" s="289" t="s">
        <v>407</v>
      </c>
      <c r="D32" s="84">
        <v>1021546.94</v>
      </c>
      <c r="E32" s="84">
        <v>1075909.86</v>
      </c>
      <c r="F32" s="84">
        <f>D32</f>
        <v>1021546.94</v>
      </c>
      <c r="G32" s="84">
        <f t="shared" si="1"/>
        <v>-54362.92000000016</v>
      </c>
      <c r="H32" s="101"/>
      <c r="I32" s="101"/>
    </row>
    <row r="33" spans="1:9" ht="15.75" customHeight="1">
      <c r="A33" s="192" t="s">
        <v>303</v>
      </c>
      <c r="B33" s="333" t="s">
        <v>308</v>
      </c>
      <c r="C33" s="289"/>
      <c r="D33" s="291">
        <f>3000+4800+3600+3000</f>
        <v>14400</v>
      </c>
      <c r="E33" s="291">
        <f>2250+4785+2700+3000</f>
        <v>12735</v>
      </c>
      <c r="F33" s="320">
        <v>0</v>
      </c>
      <c r="G33" s="291">
        <f t="shared" si="1"/>
        <v>1665</v>
      </c>
      <c r="H33" s="101"/>
      <c r="I33" s="101"/>
    </row>
    <row r="34" spans="1:9" ht="15.75" customHeight="1" thickBot="1">
      <c r="A34" s="379" t="s">
        <v>328</v>
      </c>
      <c r="B34" s="380"/>
      <c r="C34" s="380"/>
      <c r="D34" s="381"/>
      <c r="E34" s="381"/>
      <c r="F34" s="381"/>
      <c r="G34" s="171"/>
      <c r="H34" s="101"/>
      <c r="I34" s="101"/>
    </row>
    <row r="35" spans="1:10" s="102" customFormat="1" ht="14.25" thickBot="1">
      <c r="A35" s="391" t="s">
        <v>410</v>
      </c>
      <c r="B35" s="392"/>
      <c r="C35" s="392"/>
      <c r="D35" s="65">
        <v>351876.86</v>
      </c>
      <c r="E35" s="66"/>
      <c r="F35" s="66"/>
      <c r="G35" s="66"/>
      <c r="H35" s="62"/>
      <c r="I35" s="62"/>
      <c r="J35" s="101"/>
    </row>
    <row r="36" spans="1:9" s="67" customFormat="1" ht="8.2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412</v>
      </c>
      <c r="B37" s="64"/>
      <c r="C37" s="64"/>
      <c r="D37" s="69"/>
      <c r="E37" s="70"/>
      <c r="F37" s="70"/>
      <c r="G37" s="145">
        <f>G14+E27-F27</f>
        <v>24353.850000000002</v>
      </c>
      <c r="H37" s="62"/>
      <c r="I37" s="62"/>
    </row>
    <row r="38" spans="1:9" s="67" customFormat="1" ht="15.75" thickBot="1">
      <c r="A38" s="63" t="s">
        <v>413</v>
      </c>
      <c r="B38" s="64"/>
      <c r="C38" s="64"/>
      <c r="D38" s="69"/>
      <c r="E38" s="70"/>
      <c r="F38" s="70"/>
      <c r="G38" s="145">
        <f>G15+E26-F26</f>
        <v>-161555.66559999998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7.75" customHeight="1">
      <c r="A40" s="463" t="s">
        <v>44</v>
      </c>
      <c r="B40" s="463"/>
      <c r="C40" s="463"/>
      <c r="D40" s="463"/>
      <c r="E40" s="463"/>
      <c r="F40" s="463"/>
      <c r="G40" s="463"/>
      <c r="H40" s="463"/>
      <c r="I40" s="463"/>
    </row>
    <row r="42" spans="1:9" ht="28.5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  <c r="H42" s="172"/>
      <c r="I42" s="172"/>
    </row>
    <row r="43" spans="1:9" s="172" customFormat="1" ht="15">
      <c r="A43" s="109" t="s">
        <v>47</v>
      </c>
      <c r="B43" s="403" t="s">
        <v>111</v>
      </c>
      <c r="C43" s="425"/>
      <c r="D43" s="111"/>
      <c r="E43" s="111"/>
      <c r="F43" s="430">
        <f>SUM(F44:L46)</f>
        <v>9131.414999999999</v>
      </c>
      <c r="G43" s="419"/>
      <c r="H43" s="115"/>
      <c r="I43" s="115"/>
    </row>
    <row r="44" spans="1:9" s="115" customFormat="1" ht="13.5" customHeight="1">
      <c r="A44" s="34" t="s">
        <v>16</v>
      </c>
      <c r="B44" s="413" t="s">
        <v>657</v>
      </c>
      <c r="C44" s="423"/>
      <c r="D44" s="119"/>
      <c r="E44" s="349" t="s">
        <v>242</v>
      </c>
      <c r="F44" s="451">
        <v>8462.98</v>
      </c>
      <c r="G44" s="452"/>
      <c r="H44" s="35"/>
      <c r="I44" s="35"/>
    </row>
    <row r="45" spans="1:7" ht="13.5" customHeight="1">
      <c r="A45" s="34" t="s">
        <v>18</v>
      </c>
      <c r="B45" s="382"/>
      <c r="C45" s="384"/>
      <c r="D45" s="119"/>
      <c r="E45" s="122"/>
      <c r="F45" s="429"/>
      <c r="G45" s="429"/>
    </row>
    <row r="46" spans="1:7" ht="15">
      <c r="A46" s="34" t="s">
        <v>20</v>
      </c>
      <c r="B46" s="149" t="s">
        <v>191</v>
      </c>
      <c r="C46" s="150"/>
      <c r="D46" s="119"/>
      <c r="E46" s="119"/>
      <c r="F46" s="429">
        <f>E26*1%</f>
        <v>668.4350000000001</v>
      </c>
      <c r="G46" s="429"/>
    </row>
    <row r="47" spans="1:9" ht="15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15" customHeight="1">
      <c r="A48" s="67" t="s">
        <v>55</v>
      </c>
      <c r="B48" s="67"/>
      <c r="C48" s="67" t="s">
        <v>49</v>
      </c>
      <c r="D48" s="67"/>
      <c r="E48" s="67"/>
      <c r="F48" s="67" t="s">
        <v>90</v>
      </c>
      <c r="G48" s="67"/>
      <c r="H48" s="67"/>
      <c r="I48" s="67"/>
    </row>
    <row r="49" spans="1:9" ht="15">
      <c r="A49" s="67"/>
      <c r="B49" s="67"/>
      <c r="C49" s="67"/>
      <c r="D49" s="67"/>
      <c r="E49" s="67"/>
      <c r="F49" s="127" t="s">
        <v>438</v>
      </c>
      <c r="G49" s="67"/>
      <c r="H49" s="67"/>
      <c r="I49" s="67"/>
    </row>
    <row r="50" s="67" customFormat="1" ht="15">
      <c r="A50" s="67" t="s">
        <v>50</v>
      </c>
    </row>
    <row r="51" spans="3:7" s="67" customFormat="1" ht="13.5" customHeight="1">
      <c r="C51" s="129" t="s">
        <v>51</v>
      </c>
      <c r="E51" s="129"/>
      <c r="F51" s="129"/>
      <c r="G51" s="129"/>
    </row>
    <row r="52" s="67" customFormat="1" ht="15"/>
  </sheetData>
  <sheetProtection/>
  <mergeCells count="20">
    <mergeCell ref="B44:C44"/>
    <mergeCell ref="B45:C45"/>
    <mergeCell ref="J25:K25"/>
    <mergeCell ref="A12:I12"/>
    <mergeCell ref="A1:I1"/>
    <mergeCell ref="A2:I2"/>
    <mergeCell ref="A5:I5"/>
    <mergeCell ref="A10:I10"/>
    <mergeCell ref="A3:K3"/>
    <mergeCell ref="A11:I11"/>
    <mergeCell ref="F45:G45"/>
    <mergeCell ref="A34:F34"/>
    <mergeCell ref="F44:G44"/>
    <mergeCell ref="A35:C35"/>
    <mergeCell ref="A40:I40"/>
    <mergeCell ref="F46:G46"/>
    <mergeCell ref="B42:C42"/>
    <mergeCell ref="F42:G42"/>
    <mergeCell ref="B43:C43"/>
    <mergeCell ref="F43:G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51"/>
  <sheetViews>
    <sheetView zoomScalePageLayoutView="0" workbookViewId="0" topLeftCell="A35">
      <selection activeCell="F45" sqref="F45:G45"/>
    </sheetView>
  </sheetViews>
  <sheetFormatPr defaultColWidth="9.140625" defaultRowHeight="15" outlineLevelCol="1"/>
  <cols>
    <col min="1" max="1" width="5.57421875" style="35" customWidth="1"/>
    <col min="2" max="2" width="40.28125" style="35" bestFit="1" customWidth="1"/>
    <col min="3" max="3" width="13.7109375" style="35" customWidth="1"/>
    <col min="4" max="4" width="13.421875" style="35" customWidth="1"/>
    <col min="5" max="5" width="13.0039062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6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18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6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6" s="67" customFormat="1" ht="16.5" customHeight="1">
      <c r="A7" s="67" t="s">
        <v>2</v>
      </c>
      <c r="F7" s="127" t="s">
        <v>120</v>
      </c>
    </row>
    <row r="8" spans="1:9" s="67" customFormat="1" ht="15">
      <c r="A8" s="67" t="s">
        <v>3</v>
      </c>
      <c r="F8" s="127" t="s">
        <v>290</v>
      </c>
      <c r="I8" s="202" t="s">
        <v>291</v>
      </c>
    </row>
    <row r="9" s="67" customFormat="1" ht="15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284">
        <f>'[1] Пионерская 1318 кв.1-50'!$G$36</f>
        <v>-2312.39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284">
        <f>'[1] Пионерская 1318 кв.1-50'!$G$37</f>
        <v>-23476.276425</v>
      </c>
      <c r="H15" s="62"/>
      <c r="I15" s="62"/>
    </row>
    <row r="16" s="67" customFormat="1" ht="8.25" customHeight="1"/>
    <row r="17" spans="1:8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  <c r="H17" s="72"/>
    </row>
    <row r="18" spans="1:8" s="168" customFormat="1" ht="14.25">
      <c r="A18" s="75" t="s">
        <v>14</v>
      </c>
      <c r="B18" s="135" t="s">
        <v>15</v>
      </c>
      <c r="C18" s="136">
        <f>C19+C20+C21+C22</f>
        <v>9.879999999999999</v>
      </c>
      <c r="D18" s="76">
        <v>318063.04</v>
      </c>
      <c r="E18" s="76">
        <v>291530</v>
      </c>
      <c r="F18" s="76">
        <f>D18</f>
        <v>318063.04</v>
      </c>
      <c r="G18" s="77">
        <f>D18-E18</f>
        <v>26533.03999999998</v>
      </c>
      <c r="H18" s="167">
        <f>C18</f>
        <v>9.879999999999999</v>
      </c>
    </row>
    <row r="19" spans="1:9" s="67" customFormat="1" ht="15">
      <c r="A19" s="81" t="s">
        <v>16</v>
      </c>
      <c r="B19" s="140" t="s">
        <v>17</v>
      </c>
      <c r="C19" s="99">
        <v>3.46</v>
      </c>
      <c r="D19" s="83">
        <f>D18*I19</f>
        <v>111386.44923076923</v>
      </c>
      <c r="E19" s="83">
        <f>E18*I19</f>
        <v>102094.5141700405</v>
      </c>
      <c r="F19" s="83">
        <f>D19</f>
        <v>111386.44923076923</v>
      </c>
      <c r="G19" s="84">
        <f>D19-E19</f>
        <v>9291.935060728734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140" t="s">
        <v>19</v>
      </c>
      <c r="C20" s="99">
        <v>1.69</v>
      </c>
      <c r="D20" s="83">
        <f>D18*I20</f>
        <v>54405.52</v>
      </c>
      <c r="E20" s="83">
        <f>E18*I20</f>
        <v>49866.97368421053</v>
      </c>
      <c r="F20" s="83">
        <f>D20</f>
        <v>54405.52</v>
      </c>
      <c r="G20" s="84">
        <f>D20-E20</f>
        <v>4538.54631578947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40" t="s">
        <v>21</v>
      </c>
      <c r="C21" s="99">
        <v>1.69</v>
      </c>
      <c r="D21" s="83">
        <f>D18*I21</f>
        <v>54405.52</v>
      </c>
      <c r="E21" s="83">
        <f>E18*I21</f>
        <v>49866.97368421053</v>
      </c>
      <c r="F21" s="83">
        <f>D21</f>
        <v>54405.52</v>
      </c>
      <c r="G21" s="84">
        <f>D21-E21</f>
        <v>4538.54631578947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40" t="s">
        <v>23</v>
      </c>
      <c r="C22" s="99">
        <v>3.04</v>
      </c>
      <c r="D22" s="83">
        <f>D18*I22</f>
        <v>97865.55076923077</v>
      </c>
      <c r="E22" s="83">
        <f>E18*I22</f>
        <v>89701.53846153847</v>
      </c>
      <c r="F22" s="83">
        <f>D22</f>
        <v>97865.55076923077</v>
      </c>
      <c r="G22" s="84">
        <f>D22-E22</f>
        <v>8164.012307692305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28</v>
      </c>
      <c r="C23" s="142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s="39" customFormat="1" ht="14.25">
      <c r="A24" s="41" t="s">
        <v>27</v>
      </c>
      <c r="B24" s="141" t="s">
        <v>163</v>
      </c>
      <c r="C24" s="142" t="s">
        <v>334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s="39" customFormat="1" ht="14.25">
      <c r="A25" s="41" t="s">
        <v>29</v>
      </c>
      <c r="B25" s="141" t="s">
        <v>116</v>
      </c>
      <c r="C25" s="142">
        <v>1.86</v>
      </c>
      <c r="D25" s="77">
        <v>57119.04</v>
      </c>
      <c r="E25" s="77">
        <v>54886.23</v>
      </c>
      <c r="F25" s="87">
        <f>F42</f>
        <v>31808.5023</v>
      </c>
      <c r="G25" s="77">
        <f t="shared" si="0"/>
        <v>2232.8099999999977</v>
      </c>
    </row>
    <row r="26" spans="1:7" s="39" customFormat="1" ht="14.25">
      <c r="A26" s="41" t="s">
        <v>198</v>
      </c>
      <c r="B26" s="135" t="s">
        <v>34</v>
      </c>
      <c r="C26" s="136">
        <v>0</v>
      </c>
      <c r="D26" s="77">
        <v>0</v>
      </c>
      <c r="E26" s="77">
        <v>2.69</v>
      </c>
      <c r="F26" s="87">
        <f>D26</f>
        <v>0</v>
      </c>
      <c r="G26" s="77">
        <f t="shared" si="0"/>
        <v>-2.69</v>
      </c>
    </row>
    <row r="27" spans="1:7" s="39" customFormat="1" ht="14.25">
      <c r="A27" s="41" t="s">
        <v>199</v>
      </c>
      <c r="B27" s="135" t="s">
        <v>36</v>
      </c>
      <c r="C27" s="136"/>
      <c r="D27" s="77">
        <f>SUM(D28:D31)</f>
        <v>1140535.46</v>
      </c>
      <c r="E27" s="77">
        <f>SUM(E28:E31)</f>
        <v>1109630.12</v>
      </c>
      <c r="F27" s="77">
        <f>SUM(F28:F31)</f>
        <v>1140535.46</v>
      </c>
      <c r="G27" s="77">
        <f t="shared" si="0"/>
        <v>30905.33999999985</v>
      </c>
    </row>
    <row r="28" spans="1:7" ht="15">
      <c r="A28" s="34" t="s">
        <v>200</v>
      </c>
      <c r="B28" s="34" t="s">
        <v>167</v>
      </c>
      <c r="C28" s="289" t="s">
        <v>406</v>
      </c>
      <c r="D28" s="291">
        <v>33183.96</v>
      </c>
      <c r="E28" s="291">
        <v>31277.4</v>
      </c>
      <c r="F28" s="293">
        <f>D28</f>
        <v>33183.96</v>
      </c>
      <c r="G28" s="84">
        <f t="shared" si="0"/>
        <v>1906.5599999999977</v>
      </c>
    </row>
    <row r="29" spans="1:7" ht="15">
      <c r="A29" s="34" t="s">
        <v>201</v>
      </c>
      <c r="B29" s="34" t="s">
        <v>138</v>
      </c>
      <c r="C29" s="289" t="s">
        <v>409</v>
      </c>
      <c r="D29" s="291">
        <v>304671.14</v>
      </c>
      <c r="E29" s="291">
        <v>307833.87</v>
      </c>
      <c r="F29" s="293">
        <f>D29</f>
        <v>304671.14</v>
      </c>
      <c r="G29" s="84">
        <f t="shared" si="0"/>
        <v>-3162.7299999999814</v>
      </c>
    </row>
    <row r="30" spans="1:7" ht="15">
      <c r="A30" s="34" t="s">
        <v>202</v>
      </c>
      <c r="B30" s="140" t="s">
        <v>421</v>
      </c>
      <c r="C30" s="290">
        <v>0</v>
      </c>
      <c r="D30" s="291">
        <v>0</v>
      </c>
      <c r="E30" s="291">
        <v>0</v>
      </c>
      <c r="F30" s="293">
        <f>D30</f>
        <v>0</v>
      </c>
      <c r="G30" s="84">
        <f t="shared" si="0"/>
        <v>0</v>
      </c>
    </row>
    <row r="31" spans="1:7" ht="15">
      <c r="A31" s="34" t="s">
        <v>203</v>
      </c>
      <c r="B31" s="34" t="s">
        <v>43</v>
      </c>
      <c r="C31" s="289" t="s">
        <v>407</v>
      </c>
      <c r="D31" s="291">
        <v>802680.36</v>
      </c>
      <c r="E31" s="291">
        <v>770518.85</v>
      </c>
      <c r="F31" s="293">
        <f>D31</f>
        <v>802680.36</v>
      </c>
      <c r="G31" s="84">
        <f t="shared" si="0"/>
        <v>32161.51000000001</v>
      </c>
    </row>
    <row r="32" spans="1:12" ht="15">
      <c r="A32" s="41" t="s">
        <v>35</v>
      </c>
      <c r="B32" s="333" t="s">
        <v>304</v>
      </c>
      <c r="C32" s="99"/>
      <c r="D32" s="291">
        <v>13594</v>
      </c>
      <c r="E32" s="291">
        <v>12293</v>
      </c>
      <c r="F32" s="293">
        <v>0</v>
      </c>
      <c r="G32" s="84">
        <f t="shared" si="0"/>
        <v>1301</v>
      </c>
      <c r="I32" s="35">
        <v>3000</v>
      </c>
      <c r="J32" s="35">
        <v>3216</v>
      </c>
      <c r="K32" s="35">
        <v>3600</v>
      </c>
      <c r="L32" s="35">
        <v>5538</v>
      </c>
    </row>
    <row r="33" spans="1:7" ht="15">
      <c r="A33" s="379" t="s">
        <v>328</v>
      </c>
      <c r="B33" s="380"/>
      <c r="C33" s="380"/>
      <c r="D33" s="381"/>
      <c r="E33" s="381"/>
      <c r="F33" s="381"/>
      <c r="G33" s="294"/>
    </row>
    <row r="34" spans="1:9" s="67" customFormat="1" ht="15.75" thickBot="1">
      <c r="A34" s="415" t="s">
        <v>410</v>
      </c>
      <c r="B34" s="416"/>
      <c r="C34" s="416"/>
      <c r="D34" s="275">
        <v>520045.57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284">
        <f>G14+E26-F26</f>
        <v>-2309.7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284">
        <f>G15+E25-F25</f>
        <v>-398.5487249999969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33.75" customHeight="1">
      <c r="A39" s="377" t="s">
        <v>44</v>
      </c>
      <c r="B39" s="417"/>
      <c r="C39" s="417"/>
      <c r="D39" s="417"/>
      <c r="E39" s="417"/>
      <c r="F39" s="417"/>
      <c r="G39" s="417"/>
      <c r="H39" s="58"/>
      <c r="I39" s="58"/>
    </row>
    <row r="41" spans="1:7" s="172" customFormat="1" ht="28.5" customHeight="1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19"/>
    </row>
    <row r="42" spans="1:7" s="115" customFormat="1" ht="15" customHeight="1">
      <c r="A42" s="109" t="s">
        <v>47</v>
      </c>
      <c r="B42" s="403" t="s">
        <v>111</v>
      </c>
      <c r="C42" s="425"/>
      <c r="D42" s="285"/>
      <c r="E42" s="285"/>
      <c r="F42" s="421">
        <f>SUM(F43:G46)</f>
        <v>31808.5023</v>
      </c>
      <c r="G42" s="422"/>
    </row>
    <row r="43" spans="1:7" ht="16.5" customHeight="1">
      <c r="A43" s="34" t="s">
        <v>16</v>
      </c>
      <c r="B43" s="413" t="s">
        <v>685</v>
      </c>
      <c r="C43" s="423"/>
      <c r="D43" s="349" t="s">
        <v>229</v>
      </c>
      <c r="E43" s="354">
        <v>0.07</v>
      </c>
      <c r="F43" s="418">
        <v>13609.57</v>
      </c>
      <c r="G43" s="418"/>
    </row>
    <row r="44" spans="1:7" ht="18.75" customHeight="1">
      <c r="A44" s="34" t="s">
        <v>18</v>
      </c>
      <c r="B44" s="413" t="s">
        <v>687</v>
      </c>
      <c r="C44" s="423"/>
      <c r="D44" s="349" t="s">
        <v>230</v>
      </c>
      <c r="E44" s="349">
        <v>0.01</v>
      </c>
      <c r="F44" s="418">
        <v>12432.07</v>
      </c>
      <c r="G44" s="418"/>
    </row>
    <row r="45" spans="1:7" ht="18.75" customHeight="1">
      <c r="A45" s="34" t="s">
        <v>20</v>
      </c>
      <c r="B45" s="382" t="s">
        <v>170</v>
      </c>
      <c r="C45" s="384"/>
      <c r="D45" s="119"/>
      <c r="E45" s="119"/>
      <c r="F45" s="424">
        <v>5218</v>
      </c>
      <c r="G45" s="424"/>
    </row>
    <row r="46" spans="1:7" ht="15.75" customHeight="1">
      <c r="A46" s="34" t="s">
        <v>22</v>
      </c>
      <c r="B46" s="411" t="s">
        <v>191</v>
      </c>
      <c r="C46" s="426"/>
      <c r="D46" s="286"/>
      <c r="E46" s="286"/>
      <c r="F46" s="424">
        <f>E25*1%</f>
        <v>548.8623</v>
      </c>
      <c r="G46" s="424"/>
    </row>
    <row r="47" spans="2:5" ht="15">
      <c r="B47" s="155"/>
      <c r="C47" s="155"/>
      <c r="D47" s="155"/>
      <c r="E47" s="155"/>
    </row>
    <row r="48" spans="1:6" s="67" customFormat="1" ht="15">
      <c r="A48" s="67" t="s">
        <v>55</v>
      </c>
      <c r="C48" s="67" t="s">
        <v>49</v>
      </c>
      <c r="F48" s="67" t="s">
        <v>90</v>
      </c>
    </row>
    <row r="49" s="67" customFormat="1" ht="15">
      <c r="F49" s="127" t="s">
        <v>684</v>
      </c>
    </row>
    <row r="50" s="67" customFormat="1" ht="15">
      <c r="A50" s="67" t="s">
        <v>50</v>
      </c>
    </row>
    <row r="51" spans="3:7" s="67" customFormat="1" ht="15">
      <c r="C51" s="129" t="s">
        <v>51</v>
      </c>
      <c r="E51" s="129"/>
      <c r="F51" s="129"/>
      <c r="G51" s="129"/>
    </row>
    <row r="52" s="67" customFormat="1" ht="15"/>
    <row r="53" s="67" customFormat="1" ht="15"/>
  </sheetData>
  <sheetProtection/>
  <mergeCells count="22">
    <mergeCell ref="B44:C44"/>
    <mergeCell ref="F44:G44"/>
    <mergeCell ref="B45:C45"/>
    <mergeCell ref="F45:G45"/>
    <mergeCell ref="F46:G46"/>
    <mergeCell ref="B42:C42"/>
    <mergeCell ref="B43:C43"/>
    <mergeCell ref="B46:C46"/>
    <mergeCell ref="A12:I12"/>
    <mergeCell ref="A34:C34"/>
    <mergeCell ref="A39:G39"/>
    <mergeCell ref="F43:G43"/>
    <mergeCell ref="F41:G41"/>
    <mergeCell ref="B41:C41"/>
    <mergeCell ref="F42:G42"/>
    <mergeCell ref="A33:F33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37">
      <selection activeCell="B51" sqref="B51"/>
    </sheetView>
  </sheetViews>
  <sheetFormatPr defaultColWidth="9.140625" defaultRowHeight="15" outlineLevelCol="1"/>
  <cols>
    <col min="1" max="1" width="4.7109375" style="35" customWidth="1"/>
    <col min="2" max="2" width="48.140625" style="35" customWidth="1"/>
    <col min="3" max="3" width="13.00390625" style="35" customWidth="1"/>
    <col min="4" max="4" width="12.7109375" style="35" customWidth="1"/>
    <col min="5" max="5" width="14.140625" style="35" customWidth="1"/>
    <col min="6" max="6" width="13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6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7.5" customHeight="1"/>
    <row r="7" spans="1:6" s="67" customFormat="1" ht="16.5" customHeight="1">
      <c r="A7" s="67" t="s">
        <v>2</v>
      </c>
      <c r="F7" s="127" t="s">
        <v>122</v>
      </c>
    </row>
    <row r="8" spans="1:6" s="67" customFormat="1" ht="15">
      <c r="A8" s="67" t="s">
        <v>3</v>
      </c>
      <c r="F8" s="295" t="s">
        <v>244</v>
      </c>
    </row>
    <row r="9" s="67" customFormat="1" ht="6.7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'[1]Чичерина 12 к.1'!$G$36</f>
        <v>17055.13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'[1]Чичерина 12 к.1'!$G$37</f>
        <v>170772.70870000002</v>
      </c>
      <c r="H15" s="62"/>
      <c r="I15" s="62"/>
    </row>
    <row r="16" s="67" customFormat="1" ht="6.75" customHeight="1"/>
    <row r="17" spans="1:7" s="74" customFormat="1" ht="36.7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15">
      <c r="A18" s="75" t="s">
        <v>14</v>
      </c>
      <c r="B18" s="41" t="s">
        <v>15</v>
      </c>
      <c r="C18" s="136">
        <f>C19+C20+C21+C22</f>
        <v>10.34</v>
      </c>
      <c r="D18" s="76">
        <v>172559.4</v>
      </c>
      <c r="E18" s="76">
        <v>164842.17</v>
      </c>
      <c r="F18" s="76">
        <f>D18</f>
        <v>172559.4</v>
      </c>
      <c r="G18" s="77">
        <f>D18-E18</f>
        <v>7717.229999999981</v>
      </c>
      <c r="H18" s="78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57742.31373307544</v>
      </c>
      <c r="E19" s="83">
        <f>E18*I19</f>
        <v>55159.95243713734</v>
      </c>
      <c r="F19" s="83">
        <f>D19</f>
        <v>57742.31373307544</v>
      </c>
      <c r="G19" s="84">
        <f>D19-E19</f>
        <v>2582.361295938099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28203.61566731141</v>
      </c>
      <c r="E20" s="83">
        <f>E18*I20</f>
        <v>26942.28890715667</v>
      </c>
      <c r="F20" s="83">
        <f>D20</f>
        <v>28203.61566731141</v>
      </c>
      <c r="G20" s="84">
        <f>D20-E20</f>
        <v>1261.3267601547377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35880.339458413924</v>
      </c>
      <c r="E21" s="83">
        <f>E18*I21</f>
        <v>34275.692988394585</v>
      </c>
      <c r="F21" s="83">
        <f>D21</f>
        <v>35880.339458413924</v>
      </c>
      <c r="G21" s="84">
        <f>D21-E21</f>
        <v>1604.6464700193392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50733.13114119923</v>
      </c>
      <c r="E22" s="83">
        <f>E18*I22</f>
        <v>48464.23566731142</v>
      </c>
      <c r="F22" s="83">
        <f>D22</f>
        <v>50733.13114119923</v>
      </c>
      <c r="G22" s="84">
        <f>D22-E22</f>
        <v>2268.895473887809</v>
      </c>
      <c r="H22" s="78">
        <f>C22</f>
        <v>3.04</v>
      </c>
      <c r="I22" s="67">
        <f>H22/H18</f>
        <v>0.2940038684719536</v>
      </c>
    </row>
    <row r="23" spans="1:7" ht="15">
      <c r="A23" s="41" t="s">
        <v>25</v>
      </c>
      <c r="B23" s="141" t="s">
        <v>171</v>
      </c>
      <c r="C23" s="142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ht="15">
      <c r="A24" s="41" t="s">
        <v>27</v>
      </c>
      <c r="B24" s="141" t="s">
        <v>28</v>
      </c>
      <c r="C24" s="142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1" t="s">
        <v>163</v>
      </c>
      <c r="C25" s="142">
        <v>12.54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7" ht="15">
      <c r="A26" s="41" t="s">
        <v>31</v>
      </c>
      <c r="B26" s="141" t="s">
        <v>116</v>
      </c>
      <c r="C26" s="142">
        <v>2.06</v>
      </c>
      <c r="D26" s="77">
        <v>34348.56</v>
      </c>
      <c r="E26" s="77">
        <v>32840.96</v>
      </c>
      <c r="F26" s="87">
        <f>F43</f>
        <v>328.4096</v>
      </c>
      <c r="G26" s="77">
        <f t="shared" si="0"/>
        <v>1507.5999999999985</v>
      </c>
    </row>
    <row r="27" spans="1:7" ht="15">
      <c r="A27" s="41" t="s">
        <v>33</v>
      </c>
      <c r="B27" s="135" t="s">
        <v>34</v>
      </c>
      <c r="C27" s="136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5" t="s">
        <v>36</v>
      </c>
      <c r="C28" s="136"/>
      <c r="D28" s="77">
        <f>SUM(D29:D32)</f>
        <v>858957.47</v>
      </c>
      <c r="E28" s="77">
        <f>SUM(E29:E32)</f>
        <v>783886.62</v>
      </c>
      <c r="F28" s="77">
        <f>SUM(F29:F32)</f>
        <v>858957.47</v>
      </c>
      <c r="G28" s="77">
        <f t="shared" si="0"/>
        <v>75070.84999999998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16257.11</v>
      </c>
      <c r="E29" s="84">
        <v>15529.96</v>
      </c>
      <c r="F29" s="84">
        <f>D29</f>
        <v>16257.11</v>
      </c>
      <c r="G29" s="84">
        <f t="shared" si="0"/>
        <v>727.1500000000015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103907.31</v>
      </c>
      <c r="E30" s="84">
        <v>89813.65</v>
      </c>
      <c r="F30" s="84">
        <f>D30</f>
        <v>103907.31</v>
      </c>
      <c r="G30" s="84">
        <f t="shared" si="0"/>
        <v>14093.660000000003</v>
      </c>
    </row>
    <row r="31" spans="1:7" ht="15">
      <c r="A31" s="34" t="s">
        <v>42</v>
      </c>
      <c r="B31" s="34" t="s">
        <v>421</v>
      </c>
      <c r="C31" s="290" t="s">
        <v>408</v>
      </c>
      <c r="D31" s="84">
        <v>198687.08</v>
      </c>
      <c r="E31" s="84">
        <v>168296.69</v>
      </c>
      <c r="F31" s="84">
        <f>D31</f>
        <v>198687.08</v>
      </c>
      <c r="G31" s="84">
        <f t="shared" si="0"/>
        <v>30390.389999999985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540105.97</v>
      </c>
      <c r="E32" s="84">
        <v>510246.32</v>
      </c>
      <c r="F32" s="84">
        <f>D32</f>
        <v>540105.97</v>
      </c>
      <c r="G32" s="84">
        <f t="shared" si="0"/>
        <v>29859.649999999965</v>
      </c>
    </row>
    <row r="33" spans="1:7" ht="15.75" thickBot="1">
      <c r="A33" s="379" t="s">
        <v>328</v>
      </c>
      <c r="B33" s="380"/>
      <c r="C33" s="380"/>
      <c r="D33" s="381"/>
      <c r="E33" s="381"/>
      <c r="F33" s="381"/>
      <c r="G33" s="171"/>
    </row>
    <row r="34" spans="1:10" s="102" customFormat="1" ht="18.75" customHeight="1" thickBot="1">
      <c r="A34" s="391" t="s">
        <v>410</v>
      </c>
      <c r="B34" s="392"/>
      <c r="C34" s="392"/>
      <c r="D34" s="65">
        <v>295609.09</v>
      </c>
      <c r="E34" s="66"/>
      <c r="F34" s="66"/>
      <c r="G34" s="66"/>
      <c r="H34" s="101"/>
      <c r="I34" s="101"/>
      <c r="J34" s="101"/>
    </row>
    <row r="35" spans="1:9" s="67" customFormat="1" ht="13.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17055.13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203285.2591</v>
      </c>
      <c r="H37" s="62"/>
      <c r="I37" s="62"/>
    </row>
    <row r="38" spans="2:5" ht="15">
      <c r="B38" s="155"/>
      <c r="C38" s="155"/>
      <c r="D38" s="155"/>
      <c r="E38" s="155"/>
    </row>
    <row r="39" spans="2:5" ht="2.25" customHeight="1">
      <c r="B39" s="155"/>
      <c r="C39" s="155"/>
      <c r="D39" s="155"/>
      <c r="E39" s="155"/>
    </row>
    <row r="40" spans="1:9" ht="24" customHeight="1">
      <c r="A40" s="377" t="s">
        <v>44</v>
      </c>
      <c r="B40" s="377"/>
      <c r="C40" s="377"/>
      <c r="D40" s="377"/>
      <c r="E40" s="377"/>
      <c r="F40" s="377"/>
      <c r="G40" s="377"/>
      <c r="H40" s="377"/>
      <c r="I40" s="377"/>
    </row>
    <row r="41" ht="3" customHeight="1"/>
    <row r="42" spans="1:7" s="172" customFormat="1" ht="28.5" customHeight="1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</row>
    <row r="43" spans="1:7" s="115" customFormat="1" ht="13.5" customHeight="1">
      <c r="A43" s="109" t="s">
        <v>47</v>
      </c>
      <c r="B43" s="403" t="s">
        <v>111</v>
      </c>
      <c r="C43" s="425"/>
      <c r="D43" s="111"/>
      <c r="E43" s="111"/>
      <c r="F43" s="430">
        <f>SUM(F44:L45)</f>
        <v>328.4096</v>
      </c>
      <c r="G43" s="419"/>
    </row>
    <row r="44" spans="1:7" ht="17.25" customHeight="1">
      <c r="A44" s="34" t="s">
        <v>16</v>
      </c>
      <c r="B44" s="382"/>
      <c r="C44" s="384"/>
      <c r="D44" s="119"/>
      <c r="E44" s="119"/>
      <c r="F44" s="446"/>
      <c r="G44" s="447"/>
    </row>
    <row r="45" spans="1:7" s="67" customFormat="1" ht="15">
      <c r="A45" s="34" t="s">
        <v>18</v>
      </c>
      <c r="B45" s="149" t="s">
        <v>191</v>
      </c>
      <c r="C45" s="150"/>
      <c r="D45" s="119"/>
      <c r="E45" s="119"/>
      <c r="F45" s="429">
        <f>E26*1%</f>
        <v>328.4096</v>
      </c>
      <c r="G45" s="429"/>
    </row>
    <row r="46" spans="1:7" ht="15">
      <c r="A46" s="67"/>
      <c r="B46" s="67"/>
      <c r="C46" s="67"/>
      <c r="D46" s="67"/>
      <c r="E46" s="67"/>
      <c r="F46" s="67"/>
      <c r="G46" s="67"/>
    </row>
    <row r="47" spans="1:7" ht="15">
      <c r="A47" s="67" t="s">
        <v>55</v>
      </c>
      <c r="B47" s="67"/>
      <c r="C47" s="67" t="s">
        <v>49</v>
      </c>
      <c r="D47" s="67"/>
      <c r="E47" s="67"/>
      <c r="F47" s="67" t="s">
        <v>90</v>
      </c>
      <c r="G47" s="67"/>
    </row>
    <row r="48" spans="1:7" ht="15">
      <c r="A48" s="67"/>
      <c r="B48" s="67"/>
      <c r="C48" s="67"/>
      <c r="D48" s="67"/>
      <c r="E48" s="67"/>
      <c r="F48" s="127" t="s">
        <v>438</v>
      </c>
      <c r="G48" s="67"/>
    </row>
    <row r="49" spans="1:7" ht="15">
      <c r="A49" s="67" t="s">
        <v>50</v>
      </c>
      <c r="B49" s="67"/>
      <c r="C49" s="67"/>
      <c r="D49" s="67"/>
      <c r="E49" s="67"/>
      <c r="F49" s="67"/>
      <c r="G49" s="67"/>
    </row>
    <row r="50" spans="1:7" ht="15">
      <c r="A50" s="67"/>
      <c r="B50" s="67"/>
      <c r="C50" s="129" t="s">
        <v>51</v>
      </c>
      <c r="D50" s="67"/>
      <c r="E50" s="129"/>
      <c r="F50" s="129"/>
      <c r="G50" s="129"/>
    </row>
  </sheetData>
  <sheetProtection/>
  <mergeCells count="17">
    <mergeCell ref="F45:G45"/>
    <mergeCell ref="A34:C34"/>
    <mergeCell ref="F44:G44"/>
    <mergeCell ref="A1:I1"/>
    <mergeCell ref="A2:I2"/>
    <mergeCell ref="A5:I5"/>
    <mergeCell ref="A10:I10"/>
    <mergeCell ref="A3:K3"/>
    <mergeCell ref="A11:I11"/>
    <mergeCell ref="B44:C44"/>
    <mergeCell ref="A12:I12"/>
    <mergeCell ref="F42:G42"/>
    <mergeCell ref="B43:C43"/>
    <mergeCell ref="A33:F33"/>
    <mergeCell ref="F43:G43"/>
    <mergeCell ref="B42:C42"/>
    <mergeCell ref="A40:I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1"/>
  <sheetViews>
    <sheetView zoomScalePageLayoutView="0" workbookViewId="0" topLeftCell="A33">
      <selection activeCell="F42" sqref="F42:G45"/>
    </sheetView>
  </sheetViews>
  <sheetFormatPr defaultColWidth="9.140625" defaultRowHeight="15" outlineLevelCol="1"/>
  <cols>
    <col min="1" max="1" width="4.7109375" style="35" customWidth="1"/>
    <col min="2" max="2" width="48.7109375" style="35" customWidth="1"/>
    <col min="3" max="3" width="14.28125" style="35" customWidth="1"/>
    <col min="4" max="4" width="13.28125" style="35" customWidth="1"/>
    <col min="5" max="5" width="13.00390625" style="35" customWidth="1"/>
    <col min="6" max="6" width="13.28125" style="35" customWidth="1"/>
    <col min="7" max="7" width="14.00390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9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6.75" customHeight="1"/>
    <row r="7" spans="1:6" s="67" customFormat="1" ht="16.5" customHeight="1">
      <c r="A7" s="67" t="s">
        <v>2</v>
      </c>
      <c r="F7" s="127" t="s">
        <v>123</v>
      </c>
    </row>
    <row r="8" spans="1:6" s="67" customFormat="1" ht="15">
      <c r="A8" s="67" t="s">
        <v>3</v>
      </c>
      <c r="F8" s="295" t="s">
        <v>82</v>
      </c>
    </row>
    <row r="9" s="67" customFormat="1" ht="6.7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'[1]Телевизионная 6 к.1'!$G$35</f>
        <v>2910.05</v>
      </c>
      <c r="H14" s="62"/>
      <c r="I14" s="62"/>
    </row>
    <row r="15" spans="1:7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'[1]Телевизионная 6 к.1'!$G$36</f>
        <v>56750.09049999999</v>
      </c>
    </row>
    <row r="16" s="67" customFormat="1" ht="15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15">
      <c r="A18" s="75" t="s">
        <v>14</v>
      </c>
      <c r="B18" s="41" t="s">
        <v>15</v>
      </c>
      <c r="C18" s="136">
        <f>C19+C20+C21+C22</f>
        <v>9.879999999999999</v>
      </c>
      <c r="D18" s="76">
        <v>106751.52</v>
      </c>
      <c r="E18" s="76">
        <v>108763.74</v>
      </c>
      <c r="F18" s="76">
        <f aca="true" t="shared" si="0" ref="F18:F25">D18</f>
        <v>106751.52</v>
      </c>
      <c r="G18" s="77">
        <f>D18-E18</f>
        <v>-2012.2200000000012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37384.641619433205</v>
      </c>
      <c r="E19" s="83">
        <f>E18*I19</f>
        <v>38089.325951417006</v>
      </c>
      <c r="F19" s="83">
        <f t="shared" si="0"/>
        <v>37384.641619433205</v>
      </c>
      <c r="G19" s="84">
        <f>D19-E19</f>
        <v>-704.6843319838008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18260.128421052632</v>
      </c>
      <c r="E20" s="83">
        <f>E18*I20</f>
        <v>18604.323947368423</v>
      </c>
      <c r="F20" s="83">
        <f t="shared" si="0"/>
        <v>18260.128421052632</v>
      </c>
      <c r="G20" s="84">
        <f>D20-E20</f>
        <v>-344.19552631579063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18260.128421052632</v>
      </c>
      <c r="E21" s="83">
        <f>E18*I21</f>
        <v>18604.323947368423</v>
      </c>
      <c r="F21" s="83">
        <f t="shared" si="0"/>
        <v>18260.128421052632</v>
      </c>
      <c r="G21" s="84">
        <f>D21-E21</f>
        <v>-344.19552631579063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32846.62153846154</v>
      </c>
      <c r="E22" s="83">
        <f>E18*I22</f>
        <v>33465.766153846154</v>
      </c>
      <c r="F22" s="83">
        <f t="shared" si="0"/>
        <v>32846.62153846154</v>
      </c>
      <c r="G22" s="84">
        <f>D22-E22</f>
        <v>-619.1446153846118</v>
      </c>
      <c r="H22" s="146">
        <f>C22</f>
        <v>3.04</v>
      </c>
      <c r="I22" s="67">
        <f>H22/H18</f>
        <v>0.3076923076923077</v>
      </c>
    </row>
    <row r="23" spans="1:7" ht="15">
      <c r="A23" s="41" t="s">
        <v>25</v>
      </c>
      <c r="B23" s="141" t="s">
        <v>137</v>
      </c>
      <c r="C23" s="46">
        <v>0</v>
      </c>
      <c r="D23" s="77">
        <v>0</v>
      </c>
      <c r="E23" s="77">
        <v>0</v>
      </c>
      <c r="F23" s="77">
        <f t="shared" si="0"/>
        <v>0</v>
      </c>
      <c r="G23" s="77">
        <f aca="true" t="shared" si="1" ref="G23:G32">D23-E23</f>
        <v>0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1" t="s">
        <v>163</v>
      </c>
      <c r="C25" s="142">
        <v>0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1" t="s">
        <v>116</v>
      </c>
      <c r="C26" s="97">
        <v>1.86</v>
      </c>
      <c r="D26" s="77">
        <v>20097</v>
      </c>
      <c r="E26" s="77">
        <v>20474.03</v>
      </c>
      <c r="F26" s="87">
        <f>F41</f>
        <v>23614.6603</v>
      </c>
      <c r="G26" s="77">
        <f t="shared" si="1"/>
        <v>-377.02999999999884</v>
      </c>
    </row>
    <row r="27" spans="1:7" ht="15">
      <c r="A27" s="41" t="s">
        <v>33</v>
      </c>
      <c r="B27" s="135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5" t="s">
        <v>36</v>
      </c>
      <c r="C28" s="97"/>
      <c r="D28" s="77">
        <f>SUM(D29:D32)</f>
        <v>534111.84</v>
      </c>
      <c r="E28" s="77">
        <f>SUM(E29:E32)</f>
        <v>547916.11</v>
      </c>
      <c r="F28" s="77">
        <f>SUM(F29:F32)</f>
        <v>534111.84</v>
      </c>
      <c r="G28" s="77">
        <f t="shared" si="1"/>
        <v>-13804.270000000019</v>
      </c>
    </row>
    <row r="29" spans="1:7" ht="15">
      <c r="A29" s="34" t="s">
        <v>37</v>
      </c>
      <c r="B29" s="34" t="s">
        <v>167</v>
      </c>
      <c r="C29" s="289" t="s">
        <v>406</v>
      </c>
      <c r="D29" s="210">
        <v>8849.02</v>
      </c>
      <c r="E29" s="210">
        <v>9011.42</v>
      </c>
      <c r="F29" s="210">
        <f>D29</f>
        <v>8849.02</v>
      </c>
      <c r="G29" s="84">
        <f t="shared" si="1"/>
        <v>-162.39999999999964</v>
      </c>
    </row>
    <row r="30" spans="1:7" ht="15">
      <c r="A30" s="34" t="s">
        <v>39</v>
      </c>
      <c r="B30" s="34" t="s">
        <v>138</v>
      </c>
      <c r="C30" s="289" t="s">
        <v>409</v>
      </c>
      <c r="D30" s="210">
        <v>175272.77</v>
      </c>
      <c r="E30" s="210">
        <v>185507.31</v>
      </c>
      <c r="F30" s="210">
        <f>D30</f>
        <v>175272.77</v>
      </c>
      <c r="G30" s="84">
        <f t="shared" si="1"/>
        <v>-10234.540000000008</v>
      </c>
    </row>
    <row r="31" spans="1:7" ht="15">
      <c r="A31" s="34" t="s">
        <v>42</v>
      </c>
      <c r="B31" s="34" t="s">
        <v>40</v>
      </c>
      <c r="C31" s="290">
        <v>0</v>
      </c>
      <c r="D31" s="210">
        <v>0</v>
      </c>
      <c r="E31" s="210">
        <v>0</v>
      </c>
      <c r="F31" s="210">
        <f>D31</f>
        <v>0</v>
      </c>
      <c r="G31" s="84">
        <f t="shared" si="1"/>
        <v>0</v>
      </c>
    </row>
    <row r="32" spans="1:9" ht="15.75" thickBot="1">
      <c r="A32" s="34" t="s">
        <v>41</v>
      </c>
      <c r="B32" s="34" t="s">
        <v>43</v>
      </c>
      <c r="C32" s="289" t="s">
        <v>407</v>
      </c>
      <c r="D32" s="210">
        <v>349990.05</v>
      </c>
      <c r="E32" s="210">
        <v>353397.38</v>
      </c>
      <c r="F32" s="210">
        <f>D32</f>
        <v>349990.05</v>
      </c>
      <c r="G32" s="84">
        <f t="shared" si="1"/>
        <v>-3407.3300000000163</v>
      </c>
      <c r="H32" s="101"/>
      <c r="I32" s="101"/>
    </row>
    <row r="33" spans="1:10" s="102" customFormat="1" ht="14.25" thickBot="1">
      <c r="A33" s="391" t="s">
        <v>410</v>
      </c>
      <c r="B33" s="392"/>
      <c r="C33" s="392"/>
      <c r="D33" s="65">
        <v>197692.14</v>
      </c>
      <c r="E33" s="66"/>
      <c r="F33" s="66"/>
      <c r="G33" s="66"/>
      <c r="H33" s="62"/>
      <c r="I33" s="62"/>
      <c r="J33" s="101"/>
    </row>
    <row r="34" spans="1:9" s="67" customFormat="1" ht="10.5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412</v>
      </c>
      <c r="B35" s="64"/>
      <c r="C35" s="64"/>
      <c r="D35" s="69"/>
      <c r="E35" s="70"/>
      <c r="F35" s="70"/>
      <c r="G35" s="145">
        <f>G14+E27-F27</f>
        <v>2910.05</v>
      </c>
      <c r="H35" s="62"/>
      <c r="I35" s="62"/>
    </row>
    <row r="36" spans="1:9" s="67" customFormat="1" ht="15.75" thickBot="1">
      <c r="A36" s="63" t="s">
        <v>413</v>
      </c>
      <c r="B36" s="64"/>
      <c r="C36" s="64"/>
      <c r="D36" s="69"/>
      <c r="E36" s="70"/>
      <c r="F36" s="70"/>
      <c r="G36" s="145">
        <f>G15+E26-F26</f>
        <v>53609.46019999999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24" customHeight="1">
      <c r="A38" s="463" t="s">
        <v>44</v>
      </c>
      <c r="B38" s="463"/>
      <c r="C38" s="463"/>
      <c r="D38" s="463"/>
      <c r="E38" s="463"/>
      <c r="F38" s="463"/>
      <c r="G38" s="463"/>
      <c r="H38" s="463"/>
      <c r="I38" s="463"/>
    </row>
    <row r="40" spans="1:9" ht="28.5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401" t="s">
        <v>46</v>
      </c>
      <c r="G40" s="420"/>
      <c r="H40" s="172"/>
      <c r="I40" s="172"/>
    </row>
    <row r="41" spans="1:9" s="172" customFormat="1" ht="15">
      <c r="A41" s="109" t="s">
        <v>47</v>
      </c>
      <c r="B41" s="403" t="s">
        <v>111</v>
      </c>
      <c r="C41" s="425"/>
      <c r="D41" s="111"/>
      <c r="E41" s="111"/>
      <c r="F41" s="430">
        <f>SUM(F42:L45)</f>
        <v>23614.6603</v>
      </c>
      <c r="G41" s="419"/>
      <c r="H41" s="115"/>
      <c r="I41" s="115"/>
    </row>
    <row r="42" spans="1:9" s="67" customFormat="1" ht="15">
      <c r="A42" s="34" t="s">
        <v>16</v>
      </c>
      <c r="B42" s="413" t="s">
        <v>655</v>
      </c>
      <c r="C42" s="423"/>
      <c r="D42" s="349" t="s">
        <v>166</v>
      </c>
      <c r="E42" s="349">
        <v>4</v>
      </c>
      <c r="F42" s="431">
        <v>3275.76</v>
      </c>
      <c r="G42" s="431"/>
      <c r="H42" s="35"/>
      <c r="I42" s="35"/>
    </row>
    <row r="43" spans="1:9" s="67" customFormat="1" ht="15">
      <c r="A43" s="34" t="s">
        <v>18</v>
      </c>
      <c r="B43" s="413" t="s">
        <v>656</v>
      </c>
      <c r="C43" s="423"/>
      <c r="D43" s="349" t="s">
        <v>229</v>
      </c>
      <c r="E43" s="349">
        <v>0.03</v>
      </c>
      <c r="F43" s="431">
        <v>10134.16</v>
      </c>
      <c r="G43" s="431"/>
      <c r="H43" s="35"/>
      <c r="I43" s="35"/>
    </row>
    <row r="44" spans="1:9" s="67" customFormat="1" ht="15">
      <c r="A44" s="34" t="s">
        <v>20</v>
      </c>
      <c r="B44" s="382" t="s">
        <v>695</v>
      </c>
      <c r="C44" s="384"/>
      <c r="D44" s="349"/>
      <c r="E44" s="349"/>
      <c r="F44" s="429">
        <v>10000</v>
      </c>
      <c r="G44" s="429"/>
      <c r="H44" s="35"/>
      <c r="I44" s="35"/>
    </row>
    <row r="45" spans="1:9" s="67" customFormat="1" ht="15">
      <c r="A45" s="34" t="s">
        <v>22</v>
      </c>
      <c r="B45" s="149" t="s">
        <v>191</v>
      </c>
      <c r="C45" s="150"/>
      <c r="D45" s="119"/>
      <c r="E45" s="119"/>
      <c r="F45" s="429">
        <f>E26*1%</f>
        <v>204.7403</v>
      </c>
      <c r="G45" s="429"/>
      <c r="H45" s="35"/>
      <c r="I45" s="35"/>
    </row>
    <row r="46" s="67" customFormat="1" ht="11.25" customHeight="1"/>
    <row r="47" spans="1:6" s="67" customFormat="1" ht="15">
      <c r="A47" s="67" t="s">
        <v>55</v>
      </c>
      <c r="C47" s="67" t="s">
        <v>49</v>
      </c>
      <c r="F47" s="67" t="s">
        <v>90</v>
      </c>
    </row>
    <row r="48" s="67" customFormat="1" ht="15">
      <c r="F48" s="127" t="s">
        <v>438</v>
      </c>
    </row>
    <row r="49" spans="1:9" ht="15">
      <c r="A49" s="67" t="s">
        <v>50</v>
      </c>
      <c r="B49" s="67"/>
      <c r="C49" s="67"/>
      <c r="D49" s="67"/>
      <c r="E49" s="67"/>
      <c r="F49" s="67"/>
      <c r="G49" s="67"/>
      <c r="H49" s="67"/>
      <c r="I49" s="67"/>
    </row>
    <row r="50" spans="1:9" ht="15">
      <c r="A50" s="67"/>
      <c r="B50" s="67"/>
      <c r="C50" s="129" t="s">
        <v>51</v>
      </c>
      <c r="D50" s="67"/>
      <c r="E50" s="129"/>
      <c r="F50" s="129"/>
      <c r="G50" s="129"/>
      <c r="H50" s="67"/>
      <c r="I50" s="67"/>
    </row>
    <row r="51" spans="1:9" ht="15">
      <c r="A51" s="67"/>
      <c r="B51" s="67"/>
      <c r="C51" s="67"/>
      <c r="D51" s="67"/>
      <c r="E51" s="67"/>
      <c r="F51" s="67"/>
      <c r="G51" s="67"/>
      <c r="H51" s="67"/>
      <c r="I51" s="67"/>
    </row>
  </sheetData>
  <sheetProtection/>
  <mergeCells count="20">
    <mergeCell ref="B44:C44"/>
    <mergeCell ref="F44:G44"/>
    <mergeCell ref="A12:I12"/>
    <mergeCell ref="F41:G41"/>
    <mergeCell ref="A11:I11"/>
    <mergeCell ref="A1:I1"/>
    <mergeCell ref="A2:I2"/>
    <mergeCell ref="A5:I5"/>
    <mergeCell ref="A10:I10"/>
    <mergeCell ref="A3:K3"/>
    <mergeCell ref="F45:G45"/>
    <mergeCell ref="B42:C42"/>
    <mergeCell ref="F42:G42"/>
    <mergeCell ref="A33:C33"/>
    <mergeCell ref="A38:I38"/>
    <mergeCell ref="B40:C40"/>
    <mergeCell ref="F40:G40"/>
    <mergeCell ref="B41:C41"/>
    <mergeCell ref="F43:G43"/>
    <mergeCell ref="B43:C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43">
      <selection activeCell="A48" sqref="A48"/>
    </sheetView>
  </sheetViews>
  <sheetFormatPr defaultColWidth="9.140625" defaultRowHeight="15" outlineLevelCol="1"/>
  <cols>
    <col min="1" max="1" width="6.140625" style="35" customWidth="1"/>
    <col min="2" max="2" width="48.28125" style="35" customWidth="1"/>
    <col min="3" max="3" width="14.57421875" style="35" customWidth="1"/>
    <col min="4" max="4" width="13.140625" style="35" customWidth="1"/>
    <col min="5" max="5" width="13.00390625" style="35" customWidth="1"/>
    <col min="6" max="6" width="13.140625" style="35" customWidth="1"/>
    <col min="7" max="7" width="13.8515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 customHeight="1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 customHeight="1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4.2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8.2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3.5" customHeight="1">
      <c r="A5" s="406" t="s">
        <v>1</v>
      </c>
      <c r="B5" s="406"/>
      <c r="C5" s="406"/>
      <c r="D5" s="406"/>
      <c r="E5" s="406"/>
      <c r="F5" s="406"/>
      <c r="G5" s="406"/>
      <c r="H5" s="406"/>
      <c r="I5" s="406"/>
    </row>
    <row r="6" ht="3.75" customHeight="1"/>
    <row r="7" spans="1:6" s="67" customFormat="1" ht="16.5" customHeight="1">
      <c r="A7" s="67" t="s">
        <v>2</v>
      </c>
      <c r="F7" s="127" t="s">
        <v>83</v>
      </c>
    </row>
    <row r="8" spans="1:6" s="67" customFormat="1" ht="15">
      <c r="A8" s="67" t="s">
        <v>3</v>
      </c>
      <c r="F8" s="295" t="s">
        <v>458</v>
      </c>
    </row>
    <row r="9" s="67" customFormat="1" ht="6.7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'[1]Пионерская 2'!$G$36</f>
        <v>5697.05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'[1]Пионерская 2'!$G$37</f>
        <v>-387322.45930000005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15">
      <c r="A18" s="75" t="s">
        <v>14</v>
      </c>
      <c r="B18" s="41" t="s">
        <v>15</v>
      </c>
      <c r="C18" s="136">
        <f>C19+C20+C21+C22</f>
        <v>10.34</v>
      </c>
      <c r="D18" s="76">
        <v>684220.15</v>
      </c>
      <c r="E18" s="76">
        <v>668260.55</v>
      </c>
      <c r="F18" s="76">
        <f>D18</f>
        <v>684220.15</v>
      </c>
      <c r="G18" s="77">
        <f>D18-E18</f>
        <v>15959.599999999977</v>
      </c>
      <c r="H18" s="78">
        <f>C18</f>
        <v>10.34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228955.6788201161</v>
      </c>
      <c r="E19" s="83">
        <f>E18*I19</f>
        <v>223615.23239845264</v>
      </c>
      <c r="F19" s="83">
        <f>D19</f>
        <v>228955.6788201161</v>
      </c>
      <c r="G19" s="84">
        <f>D19-E19</f>
        <v>5340.4464216634515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111830.95294970986</v>
      </c>
      <c r="E20" s="83">
        <f>E18*I20</f>
        <v>109222.46900386846</v>
      </c>
      <c r="F20" s="83">
        <f>D20</f>
        <v>111830.95294970986</v>
      </c>
      <c r="G20" s="84">
        <f>D20-E20</f>
        <v>2608.4839458413917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142270.14724371373</v>
      </c>
      <c r="E21" s="83">
        <f>E18*I21</f>
        <v>138951.66175048356</v>
      </c>
      <c r="F21" s="83">
        <f>D21</f>
        <v>142270.14724371373</v>
      </c>
      <c r="G21" s="84">
        <f>D21-E21</f>
        <v>3318.485493230168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201163.37098646036</v>
      </c>
      <c r="E22" s="83">
        <f>E18*I22</f>
        <v>196471.18684719538</v>
      </c>
      <c r="F22" s="83">
        <f>D22</f>
        <v>201163.37098646036</v>
      </c>
      <c r="G22" s="84">
        <f>D22-E22</f>
        <v>4692.18413926498</v>
      </c>
      <c r="H22" s="78">
        <f>C22</f>
        <v>3.04</v>
      </c>
      <c r="I22" s="67">
        <f>H22/H18</f>
        <v>0.2940038684719536</v>
      </c>
    </row>
    <row r="23" spans="1:7" ht="15">
      <c r="A23" s="41" t="s">
        <v>25</v>
      </c>
      <c r="B23" s="141" t="s">
        <v>171</v>
      </c>
      <c r="C23" s="142">
        <v>0</v>
      </c>
      <c r="D23" s="77">
        <v>0</v>
      </c>
      <c r="E23" s="77">
        <v>0</v>
      </c>
      <c r="F23" s="77">
        <v>0</v>
      </c>
      <c r="G23" s="77">
        <f aca="true" t="shared" si="0" ref="G23:G32">D23-E23</f>
        <v>0</v>
      </c>
    </row>
    <row r="24" spans="1:7" ht="15">
      <c r="A24" s="41" t="s">
        <v>27</v>
      </c>
      <c r="B24" s="141" t="s">
        <v>28</v>
      </c>
      <c r="C24" s="142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ht="15">
      <c r="A25" s="41" t="s">
        <v>29</v>
      </c>
      <c r="B25" s="141" t="s">
        <v>163</v>
      </c>
      <c r="C25" s="142">
        <v>12.54</v>
      </c>
      <c r="D25" s="77">
        <v>0</v>
      </c>
      <c r="E25" s="77">
        <v>0</v>
      </c>
      <c r="F25" s="77">
        <f>D25</f>
        <v>0</v>
      </c>
      <c r="G25" s="77">
        <f t="shared" si="0"/>
        <v>0</v>
      </c>
    </row>
    <row r="26" spans="1:13" ht="15">
      <c r="A26" s="41" t="s">
        <v>31</v>
      </c>
      <c r="B26" s="141" t="s">
        <v>116</v>
      </c>
      <c r="C26" s="142">
        <v>2.06</v>
      </c>
      <c r="D26" s="77">
        <v>136252.2</v>
      </c>
      <c r="E26" s="77">
        <v>134119.21</v>
      </c>
      <c r="F26" s="87">
        <f>F42</f>
        <v>29479.1921</v>
      </c>
      <c r="G26" s="77">
        <f t="shared" si="0"/>
        <v>2132.99000000002</v>
      </c>
      <c r="M26" s="160"/>
    </row>
    <row r="27" spans="1:7" ht="15">
      <c r="A27" s="41" t="s">
        <v>33</v>
      </c>
      <c r="B27" s="135" t="s">
        <v>34</v>
      </c>
      <c r="C27" s="136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15">
      <c r="A28" s="41" t="s">
        <v>35</v>
      </c>
      <c r="B28" s="135" t="s">
        <v>36</v>
      </c>
      <c r="C28" s="136"/>
      <c r="D28" s="77">
        <f>SUM(D29:D32)</f>
        <v>3310165.58</v>
      </c>
      <c r="E28" s="77">
        <f>SUM(E29:E32)</f>
        <v>3225256.91</v>
      </c>
      <c r="F28" s="77">
        <f>SUM(F29:F32)</f>
        <v>3310165.58</v>
      </c>
      <c r="G28" s="77">
        <f t="shared" si="0"/>
        <v>84908.66999999993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65433.26</v>
      </c>
      <c r="E29" s="84">
        <v>63997.58</v>
      </c>
      <c r="F29" s="84">
        <f>D29</f>
        <v>65433.26</v>
      </c>
      <c r="G29" s="84">
        <f t="shared" si="0"/>
        <v>1435.6800000000003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402297.12</v>
      </c>
      <c r="E30" s="84">
        <v>397743.13</v>
      </c>
      <c r="F30" s="84">
        <f>D30</f>
        <v>402297.12</v>
      </c>
      <c r="G30" s="84">
        <f t="shared" si="0"/>
        <v>4553.989999999991</v>
      </c>
    </row>
    <row r="31" spans="1:7" ht="15">
      <c r="A31" s="34" t="s">
        <v>42</v>
      </c>
      <c r="B31" s="34" t="s">
        <v>421</v>
      </c>
      <c r="C31" s="290" t="s">
        <v>408</v>
      </c>
      <c r="D31" s="84">
        <v>699969.85</v>
      </c>
      <c r="E31" s="84">
        <v>656895.5</v>
      </c>
      <c r="F31" s="84">
        <f>D31</f>
        <v>699969.85</v>
      </c>
      <c r="G31" s="84">
        <f t="shared" si="0"/>
        <v>43074.34999999998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2142465.35</v>
      </c>
      <c r="E32" s="84">
        <v>2106620.7</v>
      </c>
      <c r="F32" s="84">
        <f>D32</f>
        <v>2142465.35</v>
      </c>
      <c r="G32" s="84">
        <f t="shared" si="0"/>
        <v>35844.64999999991</v>
      </c>
    </row>
    <row r="33" spans="1:7" ht="15.75" thickBot="1">
      <c r="A33" s="379" t="s">
        <v>328</v>
      </c>
      <c r="B33" s="380"/>
      <c r="C33" s="380"/>
      <c r="D33" s="381"/>
      <c r="E33" s="381"/>
      <c r="F33" s="381"/>
      <c r="G33" s="171"/>
    </row>
    <row r="34" spans="1:10" s="102" customFormat="1" ht="14.25" thickBot="1">
      <c r="A34" s="391" t="s">
        <v>410</v>
      </c>
      <c r="B34" s="392"/>
      <c r="C34" s="392"/>
      <c r="D34" s="65">
        <v>2696062.91</v>
      </c>
      <c r="E34" s="66"/>
      <c r="F34" s="66"/>
      <c r="G34" s="66"/>
      <c r="H34" s="101"/>
      <c r="I34" s="101"/>
      <c r="J34" s="101"/>
    </row>
    <row r="35" spans="1:9" s="67" customFormat="1" ht="5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5697.05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-282682.44140000007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4.75" customHeight="1">
      <c r="A39" s="463" t="s">
        <v>44</v>
      </c>
      <c r="B39" s="463"/>
      <c r="C39" s="463"/>
      <c r="D39" s="463"/>
      <c r="E39" s="463"/>
      <c r="F39" s="463"/>
      <c r="G39" s="463"/>
      <c r="H39" s="463"/>
      <c r="I39" s="463"/>
    </row>
    <row r="40" ht="3" customHeight="1"/>
    <row r="41" spans="1:7" s="172" customFormat="1" ht="28.5" customHeight="1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20"/>
    </row>
    <row r="42" spans="1:7" s="115" customFormat="1" ht="13.5" customHeight="1">
      <c r="A42" s="109" t="s">
        <v>47</v>
      </c>
      <c r="B42" s="403" t="s">
        <v>111</v>
      </c>
      <c r="C42" s="425"/>
      <c r="D42" s="111"/>
      <c r="E42" s="111"/>
      <c r="F42" s="430">
        <f>SUM(F43:L47)</f>
        <v>29479.1921</v>
      </c>
      <c r="G42" s="419"/>
    </row>
    <row r="43" spans="1:7" ht="25.5" customHeight="1">
      <c r="A43" s="34" t="s">
        <v>16</v>
      </c>
      <c r="B43" s="413" t="s">
        <v>380</v>
      </c>
      <c r="C43" s="423"/>
      <c r="D43" s="119"/>
      <c r="E43" s="370" t="s">
        <v>239</v>
      </c>
      <c r="F43" s="451">
        <v>16038</v>
      </c>
      <c r="G43" s="452"/>
    </row>
    <row r="44" spans="1:7" ht="13.5" customHeight="1">
      <c r="A44" s="34" t="s">
        <v>18</v>
      </c>
      <c r="B44" s="413" t="s">
        <v>650</v>
      </c>
      <c r="C44" s="423"/>
      <c r="D44" s="349" t="s">
        <v>651</v>
      </c>
      <c r="E44" s="370">
        <v>1</v>
      </c>
      <c r="F44" s="431">
        <v>2100</v>
      </c>
      <c r="G44" s="431"/>
    </row>
    <row r="45" spans="1:7" ht="13.5" customHeight="1">
      <c r="A45" s="34" t="s">
        <v>20</v>
      </c>
      <c r="B45" s="382" t="s">
        <v>691</v>
      </c>
      <c r="C45" s="384"/>
      <c r="D45" s="119"/>
      <c r="E45" s="197"/>
      <c r="F45" s="446">
        <v>10000</v>
      </c>
      <c r="G45" s="447"/>
    </row>
    <row r="46" spans="1:7" ht="13.5" customHeight="1">
      <c r="A46" s="34" t="s">
        <v>22</v>
      </c>
      <c r="B46" s="382"/>
      <c r="C46" s="384"/>
      <c r="D46" s="119"/>
      <c r="E46" s="197"/>
      <c r="F46" s="446"/>
      <c r="G46" s="447"/>
    </row>
    <row r="47" spans="1:9" s="67" customFormat="1" ht="15">
      <c r="A47" s="34" t="s">
        <v>24</v>
      </c>
      <c r="B47" s="149" t="s">
        <v>191</v>
      </c>
      <c r="C47" s="150"/>
      <c r="D47" s="119"/>
      <c r="E47" s="119"/>
      <c r="F47" s="429">
        <f>E26*1%</f>
        <v>1341.1921</v>
      </c>
      <c r="G47" s="429"/>
      <c r="H47" s="35"/>
      <c r="I47" s="35"/>
    </row>
    <row r="48" s="67" customFormat="1" ht="12.75" customHeight="1"/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5">
      <c r="F50" s="127" t="s">
        <v>438</v>
      </c>
    </row>
    <row r="51" spans="1:9" ht="15">
      <c r="A51" s="67" t="s">
        <v>50</v>
      </c>
      <c r="B51" s="67"/>
      <c r="C51" s="67"/>
      <c r="D51" s="67"/>
      <c r="E51" s="67"/>
      <c r="F51" s="67"/>
      <c r="G51" s="67"/>
      <c r="H51" s="67"/>
      <c r="I51" s="67"/>
    </row>
    <row r="52" spans="1:9" ht="15">
      <c r="A52" s="67"/>
      <c r="B52" s="67"/>
      <c r="C52" s="129" t="s">
        <v>51</v>
      </c>
      <c r="D52" s="67"/>
      <c r="E52" s="129"/>
      <c r="F52" s="129"/>
      <c r="G52" s="129"/>
      <c r="H52" s="67"/>
      <c r="I52" s="67"/>
    </row>
  </sheetData>
  <sheetProtection/>
  <mergeCells count="23">
    <mergeCell ref="A33:F33"/>
    <mergeCell ref="A39:I39"/>
    <mergeCell ref="F41:G41"/>
    <mergeCell ref="A34:C34"/>
    <mergeCell ref="B41:C41"/>
    <mergeCell ref="F44:G44"/>
    <mergeCell ref="B42:C42"/>
    <mergeCell ref="B44:C44"/>
    <mergeCell ref="A1:I1"/>
    <mergeCell ref="A2:I2"/>
    <mergeCell ref="A5:I5"/>
    <mergeCell ref="A10:I10"/>
    <mergeCell ref="A3:K3"/>
    <mergeCell ref="A12:I12"/>
    <mergeCell ref="A11:I11"/>
    <mergeCell ref="B43:C43"/>
    <mergeCell ref="F42:G42"/>
    <mergeCell ref="F43:G43"/>
    <mergeCell ref="F47:G47"/>
    <mergeCell ref="B45:C45"/>
    <mergeCell ref="B46:C46"/>
    <mergeCell ref="F45:G45"/>
    <mergeCell ref="F46:G46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zoomScalePageLayoutView="0" workbookViewId="0" topLeftCell="A41">
      <selection activeCell="B52" sqref="B52"/>
    </sheetView>
  </sheetViews>
  <sheetFormatPr defaultColWidth="9.140625" defaultRowHeight="15" outlineLevelCol="1"/>
  <cols>
    <col min="1" max="1" width="4.7109375" style="35" customWidth="1"/>
    <col min="2" max="2" width="49.28125" style="35" customWidth="1"/>
    <col min="3" max="3" width="13.140625" style="35" customWidth="1"/>
    <col min="4" max="4" width="12.8515625" style="35" customWidth="1"/>
    <col min="5" max="5" width="13.140625" style="35" customWidth="1"/>
    <col min="6" max="6" width="12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1" width="9.140625" style="35" hidden="1" customWidth="1" outlineLevel="1"/>
    <col min="12" max="12" width="0.7187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2.7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4.5" customHeight="1"/>
    <row r="7" spans="1:6" s="67" customFormat="1" ht="16.5" customHeight="1">
      <c r="A7" s="67" t="s">
        <v>2</v>
      </c>
      <c r="F7" s="60" t="s">
        <v>124</v>
      </c>
    </row>
    <row r="8" spans="1:11" s="67" customFormat="1" ht="15">
      <c r="A8" s="67" t="s">
        <v>3</v>
      </c>
      <c r="F8" s="295" t="s">
        <v>459</v>
      </c>
      <c r="I8" s="202">
        <f>248.4+304.5</f>
        <v>552.9</v>
      </c>
      <c r="J8" s="202">
        <v>4696.7</v>
      </c>
      <c r="K8" s="202">
        <f>I8+J8</f>
        <v>5249.599999999999</v>
      </c>
    </row>
    <row r="9" s="67" customFormat="1" ht="5.2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'[1]Телевизионная 2 к.1'!$G$36</f>
        <v>30605.7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'[1]Телевизионная 2 к.1'!$G$37</f>
        <v>56269.936199999975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15">
      <c r="A18" s="75" t="s">
        <v>14</v>
      </c>
      <c r="B18" s="41" t="s">
        <v>15</v>
      </c>
      <c r="C18" s="136">
        <f>C19+C20+C21+C22</f>
        <v>10.18</v>
      </c>
      <c r="D18" s="76">
        <v>604246.75</v>
      </c>
      <c r="E18" s="76">
        <v>601447.67</v>
      </c>
      <c r="F18" s="76">
        <f aca="true" t="shared" si="0" ref="F18:F25">D18</f>
        <v>604246.75</v>
      </c>
      <c r="G18" s="77">
        <f>D18-E18</f>
        <v>2799.079999999958</v>
      </c>
      <c r="H18" s="78">
        <f>C18</f>
        <v>10.18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205372.66748526524</v>
      </c>
      <c r="E19" s="83">
        <f>E18*I19</f>
        <v>204421.31023575642</v>
      </c>
      <c r="F19" s="83">
        <f t="shared" si="0"/>
        <v>205372.66748526524</v>
      </c>
      <c r="G19" s="84">
        <f>D19-E19</f>
        <v>951.3572495088156</v>
      </c>
      <c r="H19" s="78">
        <f>C19</f>
        <v>3.46</v>
      </c>
      <c r="I19" s="67">
        <f>H19/H18</f>
        <v>0.33988212180746563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100312.08325147348</v>
      </c>
      <c r="E20" s="83">
        <f>E18*I20</f>
        <v>99847.40297642436</v>
      </c>
      <c r="F20" s="83">
        <f t="shared" si="0"/>
        <v>100312.08325147348</v>
      </c>
      <c r="G20" s="84">
        <f>D20-E20</f>
        <v>464.6802750491188</v>
      </c>
      <c r="H20" s="78">
        <f>C20</f>
        <v>1.69</v>
      </c>
      <c r="I20" s="67">
        <f>H20/H18</f>
        <v>0.16601178781925344</v>
      </c>
    </row>
    <row r="21" spans="1:9" s="67" customFormat="1" ht="15">
      <c r="A21" s="81" t="s">
        <v>20</v>
      </c>
      <c r="B21" s="34" t="s">
        <v>21</v>
      </c>
      <c r="C21" s="99">
        <v>1.99</v>
      </c>
      <c r="D21" s="83">
        <f>D18*I21</f>
        <v>118118.961935167</v>
      </c>
      <c r="E21" s="83">
        <f>E18*I21</f>
        <v>117571.7940373281</v>
      </c>
      <c r="F21" s="83">
        <f t="shared" si="0"/>
        <v>118118.961935167</v>
      </c>
      <c r="G21" s="84">
        <f>D21-E21</f>
        <v>547.1678978388954</v>
      </c>
      <c r="H21" s="78">
        <f>C21</f>
        <v>1.99</v>
      </c>
      <c r="I21" s="67">
        <f>H21/H18</f>
        <v>0.19548133595284872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180443.0373280943</v>
      </c>
      <c r="E22" s="83">
        <f>E18*I22</f>
        <v>179607.16275049117</v>
      </c>
      <c r="F22" s="83">
        <f t="shared" si="0"/>
        <v>180443.0373280943</v>
      </c>
      <c r="G22" s="84">
        <f>D22-E22</f>
        <v>835.8745776031283</v>
      </c>
      <c r="H22" s="78">
        <f>C22</f>
        <v>3.04</v>
      </c>
      <c r="I22" s="67">
        <f>H22/H18</f>
        <v>0.29862475442043224</v>
      </c>
    </row>
    <row r="23" spans="1:7" ht="15">
      <c r="A23" s="41" t="s">
        <v>25</v>
      </c>
      <c r="B23" s="141" t="s">
        <v>171</v>
      </c>
      <c r="C23" s="142">
        <v>3.86</v>
      </c>
      <c r="D23" s="77">
        <v>228474.5</v>
      </c>
      <c r="E23" s="77">
        <v>227156.06</v>
      </c>
      <c r="F23" s="77">
        <f t="shared" si="0"/>
        <v>228474.5</v>
      </c>
      <c r="G23" s="77">
        <f aca="true" t="shared" si="1" ref="G23:G32">D23-E23</f>
        <v>1318.4400000000023</v>
      </c>
    </row>
    <row r="24" spans="1:7" ht="15">
      <c r="A24" s="41" t="s">
        <v>27</v>
      </c>
      <c r="B24" s="141" t="s">
        <v>460</v>
      </c>
      <c r="C24" s="142">
        <v>120</v>
      </c>
      <c r="D24" s="77">
        <v>171600</v>
      </c>
      <c r="E24" s="77">
        <v>159040.05</v>
      </c>
      <c r="F24" s="77">
        <f t="shared" si="0"/>
        <v>171600</v>
      </c>
      <c r="G24" s="77">
        <f t="shared" si="1"/>
        <v>12559.950000000012</v>
      </c>
    </row>
    <row r="25" spans="1:7" ht="15">
      <c r="A25" s="41" t="s">
        <v>29</v>
      </c>
      <c r="B25" s="141" t="s">
        <v>163</v>
      </c>
      <c r="C25" s="142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13" ht="15">
      <c r="A26" s="41" t="s">
        <v>31</v>
      </c>
      <c r="B26" s="141" t="s">
        <v>116</v>
      </c>
      <c r="C26" s="142">
        <v>2.06</v>
      </c>
      <c r="D26" s="77">
        <v>122242.8</v>
      </c>
      <c r="E26" s="77">
        <v>121819.95</v>
      </c>
      <c r="F26" s="87">
        <f>F42</f>
        <v>696410.0795</v>
      </c>
      <c r="G26" s="77">
        <f t="shared" si="1"/>
        <v>422.8500000000058</v>
      </c>
      <c r="M26" s="160"/>
    </row>
    <row r="27" spans="1:7" ht="15">
      <c r="A27" s="41" t="s">
        <v>33</v>
      </c>
      <c r="B27" s="135" t="s">
        <v>34</v>
      </c>
      <c r="C27" s="136">
        <v>0</v>
      </c>
      <c r="D27" s="77">
        <v>0</v>
      </c>
      <c r="E27" s="77">
        <v>147.27</v>
      </c>
      <c r="F27" s="87">
        <v>0</v>
      </c>
      <c r="G27" s="77">
        <f t="shared" si="1"/>
        <v>-147.27</v>
      </c>
    </row>
    <row r="28" spans="1:7" ht="15">
      <c r="A28" s="41" t="s">
        <v>35</v>
      </c>
      <c r="B28" s="135" t="s">
        <v>36</v>
      </c>
      <c r="C28" s="136"/>
      <c r="D28" s="77">
        <f>SUM(D29:D32)</f>
        <v>3372095.37</v>
      </c>
      <c r="E28" s="77">
        <f>SUM(E29:E32)</f>
        <v>3184956.56</v>
      </c>
      <c r="F28" s="77">
        <f>SUM(F29:F32)</f>
        <v>3372095.37</v>
      </c>
      <c r="G28" s="77">
        <f t="shared" si="1"/>
        <v>187138.81000000006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109619.82</v>
      </c>
      <c r="E29" s="84">
        <v>104672.59</v>
      </c>
      <c r="F29" s="84">
        <f>D29</f>
        <v>109619.82</v>
      </c>
      <c r="G29" s="84">
        <f t="shared" si="1"/>
        <v>4947.2300000000105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533281.35</v>
      </c>
      <c r="E30" s="84">
        <v>515225.11</v>
      </c>
      <c r="F30" s="84">
        <f>D30</f>
        <v>533281.35</v>
      </c>
      <c r="G30" s="84">
        <f t="shared" si="1"/>
        <v>18056.23999999999</v>
      </c>
    </row>
    <row r="31" spans="1:7" ht="15">
      <c r="A31" s="34" t="s">
        <v>42</v>
      </c>
      <c r="B31" s="34" t="s">
        <v>421</v>
      </c>
      <c r="C31" s="290" t="s">
        <v>408</v>
      </c>
      <c r="D31" s="84">
        <v>903562.38</v>
      </c>
      <c r="E31" s="84">
        <v>821396.82</v>
      </c>
      <c r="F31" s="84">
        <f>D31</f>
        <v>903562.38</v>
      </c>
      <c r="G31" s="84">
        <f t="shared" si="1"/>
        <v>82165.56000000006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1825631.82</v>
      </c>
      <c r="E32" s="84">
        <v>1743662.04</v>
      </c>
      <c r="F32" s="84">
        <f>D32</f>
        <v>1825631.82</v>
      </c>
      <c r="G32" s="84">
        <f t="shared" si="1"/>
        <v>81969.78000000003</v>
      </c>
    </row>
    <row r="33" spans="1:7" ht="15.75" thickBot="1">
      <c r="A33" s="379" t="s">
        <v>328</v>
      </c>
      <c r="B33" s="380"/>
      <c r="C33" s="380"/>
      <c r="D33" s="381"/>
      <c r="E33" s="381"/>
      <c r="F33" s="381"/>
      <c r="G33" s="171"/>
    </row>
    <row r="34" spans="1:10" s="102" customFormat="1" ht="14.25" thickBot="1">
      <c r="A34" s="391" t="s">
        <v>410</v>
      </c>
      <c r="B34" s="392"/>
      <c r="C34" s="392"/>
      <c r="D34" s="65">
        <v>2673468.64</v>
      </c>
      <c r="E34" s="66"/>
      <c r="F34" s="66"/>
      <c r="G34" s="66"/>
      <c r="H34" s="101"/>
      <c r="I34" s="101"/>
      <c r="J34" s="101"/>
    </row>
    <row r="35" spans="1:9" s="67" customFormat="1" ht="15.75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30752.97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-518320.19330000004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24.75" customHeight="1">
      <c r="A39" s="463" t="s">
        <v>44</v>
      </c>
      <c r="B39" s="463"/>
      <c r="C39" s="463"/>
      <c r="D39" s="463"/>
      <c r="E39" s="463"/>
      <c r="F39" s="463"/>
      <c r="G39" s="463"/>
      <c r="H39" s="463"/>
      <c r="I39" s="463"/>
    </row>
    <row r="41" spans="1:9" ht="28.5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20"/>
      <c r="H41" s="172"/>
      <c r="I41" s="172"/>
    </row>
    <row r="42" spans="1:9" s="172" customFormat="1" ht="15">
      <c r="A42" s="109" t="s">
        <v>47</v>
      </c>
      <c r="B42" s="403" t="s">
        <v>111</v>
      </c>
      <c r="C42" s="425"/>
      <c r="D42" s="111"/>
      <c r="E42" s="111"/>
      <c r="F42" s="430">
        <f>SUM(F43:G51)</f>
        <v>696410.0795</v>
      </c>
      <c r="G42" s="419"/>
      <c r="H42" s="115"/>
      <c r="I42" s="115"/>
    </row>
    <row r="43" spans="1:9" s="172" customFormat="1" ht="26.25">
      <c r="A43" s="204" t="s">
        <v>16</v>
      </c>
      <c r="B43" s="443" t="s">
        <v>380</v>
      </c>
      <c r="C43" s="444"/>
      <c r="D43" s="205"/>
      <c r="E43" s="368" t="s">
        <v>239</v>
      </c>
      <c r="F43" s="481">
        <v>10526</v>
      </c>
      <c r="G43" s="482"/>
      <c r="H43" s="115"/>
      <c r="I43" s="115"/>
    </row>
    <row r="44" spans="1:9" s="172" customFormat="1" ht="15">
      <c r="A44" s="204" t="s">
        <v>18</v>
      </c>
      <c r="B44" s="443" t="s">
        <v>647</v>
      </c>
      <c r="C44" s="444"/>
      <c r="D44" s="365" t="s">
        <v>648</v>
      </c>
      <c r="E44" s="369">
        <v>0.00192</v>
      </c>
      <c r="F44" s="481">
        <v>10512.29</v>
      </c>
      <c r="G44" s="482"/>
      <c r="H44" s="115"/>
      <c r="I44" s="115"/>
    </row>
    <row r="45" spans="1:9" s="172" customFormat="1" ht="15">
      <c r="A45" s="204" t="s">
        <v>20</v>
      </c>
      <c r="B45" s="443" t="s">
        <v>649</v>
      </c>
      <c r="C45" s="444"/>
      <c r="D45" s="365" t="s">
        <v>169</v>
      </c>
      <c r="E45" s="368">
        <v>140</v>
      </c>
      <c r="F45" s="481">
        <v>424824.36</v>
      </c>
      <c r="G45" s="482"/>
      <c r="H45" s="115"/>
      <c r="I45" s="115"/>
    </row>
    <row r="46" spans="1:9" s="172" customFormat="1" ht="15">
      <c r="A46" s="204" t="s">
        <v>22</v>
      </c>
      <c r="B46" s="443" t="s">
        <v>170</v>
      </c>
      <c r="C46" s="444"/>
      <c r="D46" s="365" t="s">
        <v>247</v>
      </c>
      <c r="E46" s="368">
        <v>2.3</v>
      </c>
      <c r="F46" s="481">
        <v>219038.96</v>
      </c>
      <c r="G46" s="482"/>
      <c r="H46" s="115"/>
      <c r="I46" s="115"/>
    </row>
    <row r="47" spans="1:9" s="172" customFormat="1" ht="15">
      <c r="A47" s="204" t="s">
        <v>24</v>
      </c>
      <c r="B47" s="443" t="s">
        <v>650</v>
      </c>
      <c r="C47" s="444"/>
      <c r="D47" s="365" t="s">
        <v>651</v>
      </c>
      <c r="E47" s="368">
        <v>1</v>
      </c>
      <c r="F47" s="481">
        <v>2100</v>
      </c>
      <c r="G47" s="482"/>
      <c r="H47" s="115"/>
      <c r="I47" s="115"/>
    </row>
    <row r="48" spans="1:9" s="172" customFormat="1" ht="15">
      <c r="A48" s="204" t="s">
        <v>103</v>
      </c>
      <c r="B48" s="443" t="s">
        <v>652</v>
      </c>
      <c r="C48" s="444"/>
      <c r="D48" s="365" t="s">
        <v>230</v>
      </c>
      <c r="E48" s="368">
        <v>0.08</v>
      </c>
      <c r="F48" s="481">
        <v>13281.32</v>
      </c>
      <c r="G48" s="482"/>
      <c r="H48" s="115"/>
      <c r="I48" s="115"/>
    </row>
    <row r="49" spans="1:9" s="172" customFormat="1" ht="15">
      <c r="A49" s="204" t="s">
        <v>104</v>
      </c>
      <c r="B49" s="443" t="s">
        <v>653</v>
      </c>
      <c r="C49" s="444"/>
      <c r="D49" s="365" t="s">
        <v>166</v>
      </c>
      <c r="E49" s="368">
        <v>1</v>
      </c>
      <c r="F49" s="481">
        <v>363.02</v>
      </c>
      <c r="G49" s="482"/>
      <c r="H49" s="115"/>
      <c r="I49" s="115"/>
    </row>
    <row r="50" spans="1:9" s="172" customFormat="1" ht="15">
      <c r="A50" s="204" t="s">
        <v>117</v>
      </c>
      <c r="B50" s="443" t="s">
        <v>705</v>
      </c>
      <c r="C50" s="444"/>
      <c r="D50" s="365" t="s">
        <v>654</v>
      </c>
      <c r="E50" s="368">
        <v>0.02</v>
      </c>
      <c r="F50" s="481">
        <v>14545.93</v>
      </c>
      <c r="G50" s="482"/>
      <c r="H50" s="115"/>
      <c r="I50" s="115"/>
    </row>
    <row r="51" spans="1:7" ht="15">
      <c r="A51" s="140" t="s">
        <v>118</v>
      </c>
      <c r="B51" s="149" t="s">
        <v>191</v>
      </c>
      <c r="C51" s="150"/>
      <c r="D51" s="119"/>
      <c r="E51" s="119"/>
      <c r="F51" s="476">
        <f>E26*1%</f>
        <v>1218.1995</v>
      </c>
      <c r="G51" s="476"/>
    </row>
    <row r="52" s="67" customFormat="1" ht="15"/>
    <row r="53" spans="1:6" s="67" customFormat="1" ht="13.5" customHeight="1">
      <c r="A53" s="67" t="s">
        <v>55</v>
      </c>
      <c r="C53" s="67" t="s">
        <v>49</v>
      </c>
      <c r="F53" s="67" t="s">
        <v>90</v>
      </c>
    </row>
    <row r="54" s="67" customFormat="1" ht="13.5" customHeight="1">
      <c r="F54" s="127" t="s">
        <v>438</v>
      </c>
    </row>
    <row r="55" s="67" customFormat="1" ht="11.25" customHeight="1">
      <c r="A55" s="67" t="s">
        <v>50</v>
      </c>
    </row>
    <row r="56" spans="3:7" s="67" customFormat="1" ht="15">
      <c r="C56" s="129" t="s">
        <v>51</v>
      </c>
      <c r="E56" s="129"/>
      <c r="F56" s="129"/>
      <c r="G56" s="129"/>
    </row>
    <row r="57" s="67" customFormat="1" ht="15"/>
  </sheetData>
  <sheetProtection/>
  <mergeCells count="31">
    <mergeCell ref="F51:G51"/>
    <mergeCell ref="B48:C48"/>
    <mergeCell ref="B50:C50"/>
    <mergeCell ref="F50:G50"/>
    <mergeCell ref="B49:C49"/>
    <mergeCell ref="B47:C47"/>
    <mergeCell ref="F49:G49"/>
    <mergeCell ref="F47:G47"/>
    <mergeCell ref="F48:G48"/>
    <mergeCell ref="A39:I39"/>
    <mergeCell ref="F42:G42"/>
    <mergeCell ref="A11:I11"/>
    <mergeCell ref="A34:C34"/>
    <mergeCell ref="A33:F33"/>
    <mergeCell ref="B41:C41"/>
    <mergeCell ref="F41:G41"/>
    <mergeCell ref="B42:C42"/>
    <mergeCell ref="A1:I1"/>
    <mergeCell ref="A2:I2"/>
    <mergeCell ref="A5:I5"/>
    <mergeCell ref="A10:I10"/>
    <mergeCell ref="A3:K3"/>
    <mergeCell ref="A12:I12"/>
    <mergeCell ref="B45:C45"/>
    <mergeCell ref="F45:G45"/>
    <mergeCell ref="B46:C46"/>
    <mergeCell ref="F44:G44"/>
    <mergeCell ref="B43:C43"/>
    <mergeCell ref="B44:C44"/>
    <mergeCell ref="F46:G46"/>
    <mergeCell ref="F43:G43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P53"/>
  <sheetViews>
    <sheetView zoomScalePageLayoutView="0" workbookViewId="0" topLeftCell="A44">
      <selection activeCell="A48" sqref="A48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3.7109375" style="35" customWidth="1"/>
    <col min="5" max="5" width="12.7109375" style="35" customWidth="1"/>
    <col min="6" max="6" width="11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4.2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5.2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7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4.5" customHeight="1"/>
    <row r="7" spans="1:6" s="67" customFormat="1" ht="16.5" customHeight="1">
      <c r="A7" s="67" t="s">
        <v>2</v>
      </c>
      <c r="F7" s="127" t="s">
        <v>84</v>
      </c>
    </row>
    <row r="8" spans="1:10" s="67" customFormat="1" ht="15">
      <c r="A8" s="67" t="s">
        <v>3</v>
      </c>
      <c r="F8" s="295" t="s">
        <v>461</v>
      </c>
      <c r="I8" s="311">
        <v>42.8</v>
      </c>
      <c r="J8" s="311">
        <v>1554.9</v>
      </c>
    </row>
    <row r="9" s="67" customFormat="1" ht="4.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'[1]Чичерина 16'!$G$36</f>
        <v>-7051.42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'[1]Чичерина 16'!$G$37</f>
        <v>3642.7099999999937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16" s="67" customFormat="1" ht="16.5" customHeight="1">
      <c r="A18" s="75" t="s">
        <v>14</v>
      </c>
      <c r="B18" s="41" t="s">
        <v>15</v>
      </c>
      <c r="C18" s="136">
        <f>C19+C20+C21+C22</f>
        <v>9.879999999999999</v>
      </c>
      <c r="D18" s="76">
        <v>189150.4</v>
      </c>
      <c r="E18" s="76">
        <v>183835.08</v>
      </c>
      <c r="F18" s="76">
        <f aca="true" t="shared" si="0" ref="F18:F25">D18</f>
        <v>189150.4</v>
      </c>
      <c r="G18" s="77">
        <f>D18-E18</f>
        <v>5315.320000000007</v>
      </c>
      <c r="H18" s="146">
        <f>C18</f>
        <v>9.879999999999999</v>
      </c>
      <c r="P18" s="211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66240.92955465587</v>
      </c>
      <c r="E19" s="83">
        <f>E18*I19</f>
        <v>64379.49157894737</v>
      </c>
      <c r="F19" s="83">
        <f t="shared" si="0"/>
        <v>66240.92955465587</v>
      </c>
      <c r="G19" s="84">
        <f>D19-E19</f>
        <v>1861.4379757085044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32354.673684210527</v>
      </c>
      <c r="E20" s="83">
        <f>E18*I20</f>
        <v>31445.474210526314</v>
      </c>
      <c r="F20" s="83">
        <f t="shared" si="0"/>
        <v>32354.673684210527</v>
      </c>
      <c r="G20" s="84">
        <f>D20-E20</f>
        <v>909.1994736842134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32354.673684210527</v>
      </c>
      <c r="E21" s="83">
        <f>E18*I21</f>
        <v>31445.474210526314</v>
      </c>
      <c r="F21" s="83">
        <f t="shared" si="0"/>
        <v>32354.673684210527</v>
      </c>
      <c r="G21" s="84">
        <f>D21-E21</f>
        <v>909.1994736842134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58200.123076923075</v>
      </c>
      <c r="E22" s="83">
        <f>E18*I22</f>
        <v>56564.64</v>
      </c>
      <c r="F22" s="83">
        <f t="shared" si="0"/>
        <v>58200.123076923075</v>
      </c>
      <c r="G22" s="84">
        <f>D22-E22</f>
        <v>1635.4830769230757</v>
      </c>
      <c r="H22" s="146">
        <f>C22</f>
        <v>3.04</v>
      </c>
      <c r="I22" s="67">
        <f>H22/H18</f>
        <v>0.3076923076923077</v>
      </c>
    </row>
    <row r="23" spans="1:7" ht="26.25">
      <c r="A23" s="41" t="s">
        <v>25</v>
      </c>
      <c r="B23" s="193" t="s">
        <v>245</v>
      </c>
      <c r="C23" s="53" t="s">
        <v>246</v>
      </c>
      <c r="D23" s="77">
        <v>36720</v>
      </c>
      <c r="E23" s="77">
        <v>35879.93</v>
      </c>
      <c r="F23" s="77">
        <f t="shared" si="0"/>
        <v>36720</v>
      </c>
      <c r="G23" s="77">
        <f aca="true" t="shared" si="1" ref="G23:G32">D23-E23</f>
        <v>840.0699999999997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1" t="s">
        <v>163</v>
      </c>
      <c r="C25" s="142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1" t="s">
        <v>116</v>
      </c>
      <c r="C26" s="97">
        <v>1.86</v>
      </c>
      <c r="D26" s="77">
        <v>35580.91</v>
      </c>
      <c r="E26" s="77">
        <v>34651.62</v>
      </c>
      <c r="F26" s="87">
        <f>F44</f>
        <v>14978.5862</v>
      </c>
      <c r="G26" s="77">
        <f t="shared" si="1"/>
        <v>929.2900000000009</v>
      </c>
    </row>
    <row r="27" spans="1:7" ht="15">
      <c r="A27" s="41" t="s">
        <v>33</v>
      </c>
      <c r="B27" s="135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5" t="s">
        <v>36</v>
      </c>
      <c r="C28" s="97"/>
      <c r="D28" s="77">
        <f>SUM(D29:D32)</f>
        <v>824798.13</v>
      </c>
      <c r="E28" s="77">
        <f>SUM(E29:E32)</f>
        <v>798959.05</v>
      </c>
      <c r="F28" s="77">
        <f>SUM(F29:F32)</f>
        <v>824798.13</v>
      </c>
      <c r="G28" s="77">
        <f t="shared" si="1"/>
        <v>25839.079999999958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5072.15</v>
      </c>
      <c r="E29" s="84">
        <v>4944.4</v>
      </c>
      <c r="F29" s="84">
        <f>D29</f>
        <v>5072.15</v>
      </c>
      <c r="G29" s="84">
        <f t="shared" si="1"/>
        <v>127.75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215328.36</v>
      </c>
      <c r="E30" s="84">
        <v>206650.62</v>
      </c>
      <c r="F30" s="84">
        <f>D30</f>
        <v>215328.36</v>
      </c>
      <c r="G30" s="84">
        <f t="shared" si="1"/>
        <v>8677.73999999999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289" t="s">
        <v>407</v>
      </c>
      <c r="D32" s="84">
        <v>604397.62</v>
      </c>
      <c r="E32" s="84">
        <v>587364.03</v>
      </c>
      <c r="F32" s="84">
        <f>D32</f>
        <v>604397.62</v>
      </c>
      <c r="G32" s="84">
        <f t="shared" si="1"/>
        <v>17033.589999999967</v>
      </c>
      <c r="H32" s="101"/>
      <c r="I32" s="101"/>
    </row>
    <row r="33" spans="1:9" ht="15.75" thickBot="1">
      <c r="A33" s="379" t="s">
        <v>328</v>
      </c>
      <c r="B33" s="380"/>
      <c r="C33" s="380"/>
      <c r="D33" s="381"/>
      <c r="E33" s="381"/>
      <c r="F33" s="381"/>
      <c r="G33" s="171"/>
      <c r="H33" s="101"/>
      <c r="I33" s="101"/>
    </row>
    <row r="34" spans="1:10" s="102" customFormat="1" ht="14.25" thickBot="1">
      <c r="A34" s="391" t="s">
        <v>410</v>
      </c>
      <c r="B34" s="392"/>
      <c r="C34" s="392"/>
      <c r="D34" s="65">
        <v>227176.77</v>
      </c>
      <c r="E34" s="66"/>
      <c r="F34" s="66"/>
      <c r="G34" s="66"/>
      <c r="H34" s="62"/>
      <c r="I34" s="62"/>
      <c r="J34" s="101"/>
    </row>
    <row r="35" spans="1:9" s="67" customFormat="1" ht="8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-7051.42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23315.743799999997</v>
      </c>
      <c r="H37" s="62"/>
      <c r="I37" s="62"/>
    </row>
    <row r="38" spans="1:9" s="67" customFormat="1" ht="15">
      <c r="A38" s="490" t="s">
        <v>373</v>
      </c>
      <c r="B38" s="491"/>
      <c r="C38" s="104"/>
      <c r="D38" s="104"/>
      <c r="E38" s="101"/>
      <c r="F38" s="101"/>
      <c r="G38" s="101"/>
      <c r="H38" s="62"/>
      <c r="I38" s="62"/>
    </row>
    <row r="39" spans="1:9" s="67" customFormat="1" ht="15">
      <c r="A39" s="492" t="s">
        <v>146</v>
      </c>
      <c r="B39" s="493"/>
      <c r="C39" s="44" t="s">
        <v>147</v>
      </c>
      <c r="D39" s="44" t="s">
        <v>148</v>
      </c>
      <c r="E39" s="45" t="s">
        <v>149</v>
      </c>
      <c r="F39" s="42" t="s">
        <v>150</v>
      </c>
      <c r="G39" s="45" t="s">
        <v>151</v>
      </c>
      <c r="H39" s="62"/>
      <c r="I39" s="323"/>
    </row>
    <row r="40" spans="1:9" s="67" customFormat="1" ht="15">
      <c r="A40" s="494"/>
      <c r="B40" s="495"/>
      <c r="C40" s="224">
        <v>42.8</v>
      </c>
      <c r="D40" s="154">
        <f>E40/C40/12</f>
        <v>11.586604361370718</v>
      </c>
      <c r="E40" s="238">
        <v>5950.88</v>
      </c>
      <c r="F40" s="238">
        <v>6257.1</v>
      </c>
      <c r="G40" s="154">
        <f>E40-F40</f>
        <v>-306.22000000000025</v>
      </c>
      <c r="H40" s="62"/>
      <c r="I40" s="302">
        <v>42.8</v>
      </c>
    </row>
    <row r="41" spans="1:9" s="67" customFormat="1" ht="31.5" customHeight="1">
      <c r="A41" s="463" t="s">
        <v>44</v>
      </c>
      <c r="B41" s="463"/>
      <c r="C41" s="463"/>
      <c r="D41" s="463"/>
      <c r="E41" s="463"/>
      <c r="F41" s="463"/>
      <c r="G41" s="463"/>
      <c r="H41" s="463"/>
      <c r="I41" s="463"/>
    </row>
    <row r="43" spans="1:9" ht="28.5">
      <c r="A43" s="105" t="s">
        <v>11</v>
      </c>
      <c r="B43" s="401" t="s">
        <v>45</v>
      </c>
      <c r="C43" s="420"/>
      <c r="D43" s="105" t="s">
        <v>165</v>
      </c>
      <c r="E43" s="105" t="s">
        <v>164</v>
      </c>
      <c r="F43" s="401" t="s">
        <v>46</v>
      </c>
      <c r="G43" s="420"/>
      <c r="H43" s="172"/>
      <c r="I43" s="172"/>
    </row>
    <row r="44" spans="1:9" s="172" customFormat="1" ht="28.5" customHeight="1">
      <c r="A44" s="109" t="s">
        <v>47</v>
      </c>
      <c r="B44" s="403" t="s">
        <v>111</v>
      </c>
      <c r="C44" s="425"/>
      <c r="D44" s="111"/>
      <c r="E44" s="111"/>
      <c r="F44" s="430">
        <f>SUM(F45:G47)</f>
        <v>14978.5862</v>
      </c>
      <c r="G44" s="419"/>
      <c r="H44" s="115"/>
      <c r="I44" s="115"/>
    </row>
    <row r="45" spans="1:9" s="172" customFormat="1" ht="15">
      <c r="A45" s="140" t="s">
        <v>16</v>
      </c>
      <c r="B45" s="366" t="s">
        <v>646</v>
      </c>
      <c r="C45" s="150"/>
      <c r="D45" s="349" t="s">
        <v>230</v>
      </c>
      <c r="E45" s="364">
        <v>0.01</v>
      </c>
      <c r="F45" s="489">
        <v>12432.07</v>
      </c>
      <c r="G45" s="489"/>
      <c r="H45" s="115"/>
      <c r="I45" s="115"/>
    </row>
    <row r="46" spans="1:9" s="172" customFormat="1" ht="15">
      <c r="A46" s="140" t="s">
        <v>18</v>
      </c>
      <c r="B46" s="366" t="s">
        <v>547</v>
      </c>
      <c r="C46" s="150"/>
      <c r="D46" s="349" t="s">
        <v>548</v>
      </c>
      <c r="E46" s="364">
        <v>5</v>
      </c>
      <c r="F46" s="489">
        <v>2200</v>
      </c>
      <c r="G46" s="489"/>
      <c r="H46" s="115"/>
      <c r="I46" s="115"/>
    </row>
    <row r="47" spans="1:9" s="115" customFormat="1" ht="13.5" customHeight="1">
      <c r="A47" s="140" t="s">
        <v>20</v>
      </c>
      <c r="B47" s="149" t="s">
        <v>191</v>
      </c>
      <c r="C47" s="150"/>
      <c r="D47" s="119"/>
      <c r="E47" s="119"/>
      <c r="F47" s="476">
        <f>E26*1%</f>
        <v>346.5162</v>
      </c>
      <c r="G47" s="476"/>
      <c r="H47" s="35"/>
      <c r="I47" s="35"/>
    </row>
    <row r="48" spans="1:9" ht="13.5" customHeight="1">
      <c r="A48" s="67"/>
      <c r="B48" s="67"/>
      <c r="C48" s="67"/>
      <c r="D48" s="67"/>
      <c r="E48" s="67"/>
      <c r="F48" s="67"/>
      <c r="G48" s="67"/>
      <c r="H48" s="67"/>
      <c r="I48" s="67"/>
    </row>
    <row r="49" spans="1:9" ht="13.5" customHeight="1">
      <c r="A49" s="67" t="s">
        <v>55</v>
      </c>
      <c r="B49" s="67"/>
      <c r="C49" s="67" t="s">
        <v>49</v>
      </c>
      <c r="D49" s="67"/>
      <c r="E49" s="67"/>
      <c r="F49" s="67" t="s">
        <v>90</v>
      </c>
      <c r="G49" s="67"/>
      <c r="H49" s="67"/>
      <c r="I49" s="67"/>
    </row>
    <row r="50" spans="1:9" ht="13.5" customHeight="1">
      <c r="A50" s="67"/>
      <c r="B50" s="67"/>
      <c r="C50" s="67"/>
      <c r="D50" s="67"/>
      <c r="E50" s="67"/>
      <c r="F50" s="127" t="s">
        <v>438</v>
      </c>
      <c r="G50" s="67"/>
      <c r="H50" s="67"/>
      <c r="I50" s="67"/>
    </row>
    <row r="51" spans="1:9" ht="13.5" customHeight="1">
      <c r="A51" s="67" t="s">
        <v>50</v>
      </c>
      <c r="B51" s="67"/>
      <c r="C51" s="67"/>
      <c r="D51" s="67"/>
      <c r="E51" s="67"/>
      <c r="F51" s="67"/>
      <c r="G51" s="67"/>
      <c r="H51" s="67"/>
      <c r="I51" s="67"/>
    </row>
    <row r="52" spans="1:9" ht="13.5" customHeight="1">
      <c r="A52" s="67"/>
      <c r="B52" s="67"/>
      <c r="C52" s="129" t="s">
        <v>51</v>
      </c>
      <c r="D52" s="67"/>
      <c r="E52" s="129"/>
      <c r="F52" s="129"/>
      <c r="G52" s="129"/>
      <c r="H52" s="67"/>
      <c r="I52" s="67"/>
    </row>
    <row r="53" spans="2:5" ht="6.75" customHeight="1">
      <c r="B53" s="155"/>
      <c r="C53" s="155"/>
      <c r="D53" s="155"/>
      <c r="E53" s="155"/>
    </row>
    <row r="54" s="67" customFormat="1" ht="15"/>
  </sheetData>
  <sheetProtection/>
  <mergeCells count="19">
    <mergeCell ref="F47:G47"/>
    <mergeCell ref="A12:I12"/>
    <mergeCell ref="F44:G44"/>
    <mergeCell ref="A34:C34"/>
    <mergeCell ref="A41:I41"/>
    <mergeCell ref="B43:C43"/>
    <mergeCell ref="F43:G43"/>
    <mergeCell ref="B44:C44"/>
    <mergeCell ref="F45:G45"/>
    <mergeCell ref="A39:B40"/>
    <mergeCell ref="F46:G46"/>
    <mergeCell ref="A38:B38"/>
    <mergeCell ref="A1:I1"/>
    <mergeCell ref="A2:I2"/>
    <mergeCell ref="A5:I5"/>
    <mergeCell ref="A10:I10"/>
    <mergeCell ref="A3:K3"/>
    <mergeCell ref="A33:F33"/>
    <mergeCell ref="A11:I11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zoomScalePageLayoutView="0" workbookViewId="0" topLeftCell="A34">
      <selection activeCell="F40" sqref="F40:G45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3.7109375" style="35" customWidth="1"/>
    <col min="5" max="5" width="12.7109375" style="35" customWidth="1"/>
    <col min="6" max="6" width="11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1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4.2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5.2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7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4.5" customHeight="1"/>
    <row r="7" spans="1:6" s="67" customFormat="1" ht="16.5" customHeight="1">
      <c r="A7" s="67" t="s">
        <v>2</v>
      </c>
      <c r="F7" s="127" t="s">
        <v>248</v>
      </c>
    </row>
    <row r="8" spans="1:11" s="67" customFormat="1" ht="15">
      <c r="A8" s="67" t="s">
        <v>3</v>
      </c>
      <c r="F8" s="295" t="s">
        <v>249</v>
      </c>
      <c r="I8" s="202">
        <f>9.6+220.3+129.7</f>
        <v>359.6</v>
      </c>
      <c r="J8" s="202">
        <f>1653.6</f>
        <v>1653.6</v>
      </c>
      <c r="K8" s="202">
        <f>I8+J8</f>
        <v>2013.1999999999998</v>
      </c>
    </row>
    <row r="9" s="67" customFormat="1" ht="4.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331</v>
      </c>
      <c r="B14" s="64"/>
      <c r="C14" s="64"/>
      <c r="D14" s="69"/>
      <c r="E14" s="70"/>
      <c r="F14" s="70"/>
      <c r="G14" s="145">
        <f>'[1]Чичерина 19'!$G$34</f>
        <v>137220.9103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16" s="67" customFormat="1" ht="16.5" customHeight="1">
      <c r="A17" s="75" t="s">
        <v>14</v>
      </c>
      <c r="B17" s="41" t="s">
        <v>15</v>
      </c>
      <c r="C17" s="136">
        <f>C18+C19+C20+C21</f>
        <v>9.879999999999999</v>
      </c>
      <c r="D17" s="76">
        <v>238685.16</v>
      </c>
      <c r="E17" s="76">
        <v>167503.4</v>
      </c>
      <c r="F17" s="76">
        <f aca="true" t="shared" si="0" ref="F17:F24">D17</f>
        <v>238685.16</v>
      </c>
      <c r="G17" s="77">
        <f>D17-E17</f>
        <v>71181.76000000001</v>
      </c>
      <c r="H17" s="146">
        <f>C17</f>
        <v>9.879999999999999</v>
      </c>
      <c r="P17" s="211"/>
    </row>
    <row r="18" spans="1:9" s="67" customFormat="1" ht="15">
      <c r="A18" s="81" t="s">
        <v>16</v>
      </c>
      <c r="B18" s="34" t="s">
        <v>17</v>
      </c>
      <c r="C18" s="99">
        <v>3.46</v>
      </c>
      <c r="D18" s="83">
        <f>D17*I18</f>
        <v>83588.1228340081</v>
      </c>
      <c r="E18" s="83">
        <f>E17*I18</f>
        <v>58660.09757085021</v>
      </c>
      <c r="F18" s="83">
        <f t="shared" si="0"/>
        <v>83588.1228340081</v>
      </c>
      <c r="G18" s="84">
        <f>D18-E18</f>
        <v>24928.02526315789</v>
      </c>
      <c r="H18" s="146">
        <f>C18</f>
        <v>3.46</v>
      </c>
      <c r="I18" s="67">
        <f>H18/H17</f>
        <v>0.3502024291497976</v>
      </c>
    </row>
    <row r="19" spans="1:9" s="67" customFormat="1" ht="15">
      <c r="A19" s="81" t="s">
        <v>18</v>
      </c>
      <c r="B19" s="34" t="s">
        <v>19</v>
      </c>
      <c r="C19" s="99">
        <v>1.69</v>
      </c>
      <c r="D19" s="83">
        <f>D17*I19</f>
        <v>40827.72473684211</v>
      </c>
      <c r="E19" s="83">
        <f>E17*I19</f>
        <v>28651.897368421054</v>
      </c>
      <c r="F19" s="83">
        <f t="shared" si="0"/>
        <v>40827.72473684211</v>
      </c>
      <c r="G19" s="84">
        <f>D19-E19</f>
        <v>12175.827368421054</v>
      </c>
      <c r="H19" s="146">
        <f>C19</f>
        <v>1.69</v>
      </c>
      <c r="I19" s="67">
        <f>H19/H17</f>
        <v>0.17105263157894737</v>
      </c>
    </row>
    <row r="20" spans="1:9" s="67" customFormat="1" ht="15">
      <c r="A20" s="81" t="s">
        <v>20</v>
      </c>
      <c r="B20" s="34" t="s">
        <v>21</v>
      </c>
      <c r="C20" s="99">
        <v>1.69</v>
      </c>
      <c r="D20" s="83">
        <f>D17*I20</f>
        <v>40827.72473684211</v>
      </c>
      <c r="E20" s="83">
        <f>E17*I20</f>
        <v>28651.897368421054</v>
      </c>
      <c r="F20" s="83">
        <f t="shared" si="0"/>
        <v>40827.72473684211</v>
      </c>
      <c r="G20" s="84">
        <f>D20-E20</f>
        <v>12175.827368421054</v>
      </c>
      <c r="H20" s="146">
        <f>C20</f>
        <v>1.69</v>
      </c>
      <c r="I20" s="67">
        <f>H20/H17</f>
        <v>0.17105263157894737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73441.5876923077</v>
      </c>
      <c r="E21" s="83">
        <f>E17*I21</f>
        <v>51539.50769230769</v>
      </c>
      <c r="F21" s="83">
        <f t="shared" si="0"/>
        <v>73441.5876923077</v>
      </c>
      <c r="G21" s="84">
        <f>D21-E21</f>
        <v>21902.08000000001</v>
      </c>
      <c r="H21" s="146">
        <f>C21</f>
        <v>3.04</v>
      </c>
      <c r="I21" s="67">
        <f>H21/H17</f>
        <v>0.3076923076923077</v>
      </c>
    </row>
    <row r="22" spans="1:7" ht="15">
      <c r="A22" s="41" t="s">
        <v>25</v>
      </c>
      <c r="B22" s="141" t="s">
        <v>137</v>
      </c>
      <c r="C22" s="46">
        <v>0</v>
      </c>
      <c r="D22" s="77">
        <v>0</v>
      </c>
      <c r="E22" s="77">
        <v>0</v>
      </c>
      <c r="F22" s="77">
        <f t="shared" si="0"/>
        <v>0</v>
      </c>
      <c r="G22" s="77">
        <f aca="true" t="shared" si="1" ref="G22:G31">D22-E22</f>
        <v>0</v>
      </c>
    </row>
    <row r="23" spans="1:7" ht="15">
      <c r="A23" s="41" t="s">
        <v>27</v>
      </c>
      <c r="B23" s="141" t="s">
        <v>28</v>
      </c>
      <c r="C23" s="97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</row>
    <row r="24" spans="1:7" ht="15">
      <c r="A24" s="41" t="s">
        <v>29</v>
      </c>
      <c r="B24" s="141" t="s">
        <v>163</v>
      </c>
      <c r="C24" s="142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31</v>
      </c>
      <c r="B25" s="141" t="s">
        <v>116</v>
      </c>
      <c r="C25" s="97">
        <v>5</v>
      </c>
      <c r="D25" s="77">
        <v>120792</v>
      </c>
      <c r="E25" s="77">
        <v>84849.12</v>
      </c>
      <c r="F25" s="87">
        <f>F39</f>
        <v>49310.0012</v>
      </c>
      <c r="G25" s="77">
        <f t="shared" si="1"/>
        <v>35942.880000000005</v>
      </c>
    </row>
    <row r="26" spans="1:7" ht="15">
      <c r="A26" s="41" t="s">
        <v>33</v>
      </c>
      <c r="B26" s="135" t="s">
        <v>34</v>
      </c>
      <c r="C26" s="46">
        <v>0</v>
      </c>
      <c r="D26" s="77">
        <v>0</v>
      </c>
      <c r="E26" s="77">
        <v>0</v>
      </c>
      <c r="F26" s="87">
        <v>0</v>
      </c>
      <c r="G26" s="77">
        <f t="shared" si="1"/>
        <v>0</v>
      </c>
    </row>
    <row r="27" spans="1:7" ht="15">
      <c r="A27" s="41" t="s">
        <v>35</v>
      </c>
      <c r="B27" s="135" t="s">
        <v>36</v>
      </c>
      <c r="C27" s="97"/>
      <c r="D27" s="77">
        <f>SUM(D28:D31)</f>
        <v>239054.99</v>
      </c>
      <c r="E27" s="77">
        <f>SUM(E28:E31)</f>
        <v>156062.69999999998</v>
      </c>
      <c r="F27" s="77">
        <f>SUM(F28:F31)</f>
        <v>239054.99</v>
      </c>
      <c r="G27" s="77">
        <f t="shared" si="1"/>
        <v>82992.29000000001</v>
      </c>
    </row>
    <row r="28" spans="1:7" ht="15">
      <c r="A28" s="34" t="s">
        <v>37</v>
      </c>
      <c r="B28" s="34" t="s">
        <v>167</v>
      </c>
      <c r="C28" s="289" t="s">
        <v>406</v>
      </c>
      <c r="D28" s="84">
        <v>23266.13</v>
      </c>
      <c r="E28" s="84">
        <v>16208.33</v>
      </c>
      <c r="F28" s="84">
        <f>D28</f>
        <v>23266.13</v>
      </c>
      <c r="G28" s="84">
        <f t="shared" si="1"/>
        <v>7057.800000000001</v>
      </c>
    </row>
    <row r="29" spans="1:7" ht="15">
      <c r="A29" s="34" t="s">
        <v>39</v>
      </c>
      <c r="B29" s="34" t="s">
        <v>138</v>
      </c>
      <c r="C29" s="289" t="s">
        <v>409</v>
      </c>
      <c r="D29" s="84">
        <v>215788.86</v>
      </c>
      <c r="E29" s="84">
        <v>139854.37</v>
      </c>
      <c r="F29" s="84">
        <f>D29</f>
        <v>215788.86</v>
      </c>
      <c r="G29" s="84">
        <f t="shared" si="1"/>
        <v>75934.48999999999</v>
      </c>
    </row>
    <row r="30" spans="1:7" ht="15">
      <c r="A30" s="34" t="s">
        <v>42</v>
      </c>
      <c r="B30" s="34" t="s">
        <v>40</v>
      </c>
      <c r="C30" s="144">
        <v>0</v>
      </c>
      <c r="D30" s="84">
        <v>0</v>
      </c>
      <c r="E30" s="84">
        <v>0</v>
      </c>
      <c r="F30" s="84">
        <f>D30</f>
        <v>0</v>
      </c>
      <c r="G30" s="84">
        <f t="shared" si="1"/>
        <v>0</v>
      </c>
    </row>
    <row r="31" spans="1:9" ht="15.75" thickBot="1">
      <c r="A31" s="34" t="s">
        <v>41</v>
      </c>
      <c r="B31" s="34" t="s">
        <v>43</v>
      </c>
      <c r="C31" s="289">
        <v>0</v>
      </c>
      <c r="D31" s="213">
        <v>0</v>
      </c>
      <c r="E31" s="213">
        <v>0</v>
      </c>
      <c r="F31" s="84">
        <f>D31</f>
        <v>0</v>
      </c>
      <c r="G31" s="84">
        <f t="shared" si="1"/>
        <v>0</v>
      </c>
      <c r="H31" s="101"/>
      <c r="I31" s="101"/>
    </row>
    <row r="32" spans="1:10" s="102" customFormat="1" ht="14.25" thickBot="1">
      <c r="A32" s="391" t="s">
        <v>410</v>
      </c>
      <c r="B32" s="392"/>
      <c r="C32" s="392"/>
      <c r="D32" s="65">
        <v>1070924.22</v>
      </c>
      <c r="E32" s="66"/>
      <c r="F32" s="66"/>
      <c r="G32" s="66"/>
      <c r="H32" s="62"/>
      <c r="I32" s="62"/>
      <c r="J32" s="101"/>
    </row>
    <row r="33" spans="1:9" s="67" customFormat="1" ht="8.25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G14+E25-F25</f>
        <v>172760.02909999999</v>
      </c>
      <c r="H34" s="62"/>
      <c r="I34" s="62"/>
    </row>
    <row r="35" spans="1:9" s="67" customFormat="1" ht="15">
      <c r="A35" s="68"/>
      <c r="B35" s="68"/>
      <c r="C35" s="68"/>
      <c r="D35" s="40"/>
      <c r="E35" s="66"/>
      <c r="F35" s="66"/>
      <c r="G35" s="40"/>
      <c r="H35" s="62"/>
      <c r="I35" s="62"/>
    </row>
    <row r="36" spans="1:9" s="67" customFormat="1" ht="31.5" customHeight="1">
      <c r="A36" s="463" t="s">
        <v>44</v>
      </c>
      <c r="B36" s="463"/>
      <c r="C36" s="463"/>
      <c r="D36" s="463"/>
      <c r="E36" s="463"/>
      <c r="F36" s="463"/>
      <c r="G36" s="463"/>
      <c r="H36" s="463"/>
      <c r="I36" s="463"/>
    </row>
    <row r="38" spans="1:9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172"/>
      <c r="I38" s="172"/>
    </row>
    <row r="39" spans="1:9" s="172" customFormat="1" ht="28.5" customHeight="1">
      <c r="A39" s="109" t="s">
        <v>47</v>
      </c>
      <c r="B39" s="403" t="s">
        <v>111</v>
      </c>
      <c r="C39" s="425"/>
      <c r="D39" s="111"/>
      <c r="E39" s="111"/>
      <c r="F39" s="430">
        <f>SUM(F40:L45)</f>
        <v>49310.0012</v>
      </c>
      <c r="G39" s="419"/>
      <c r="H39" s="115"/>
      <c r="I39" s="115"/>
    </row>
    <row r="40" spans="1:9" s="172" customFormat="1" ht="15">
      <c r="A40" s="140" t="s">
        <v>16</v>
      </c>
      <c r="B40" s="366" t="s">
        <v>645</v>
      </c>
      <c r="C40" s="367"/>
      <c r="D40" s="349" t="s">
        <v>166</v>
      </c>
      <c r="E40" s="353">
        <v>1</v>
      </c>
      <c r="F40" s="489">
        <v>8425.51</v>
      </c>
      <c r="G40" s="489"/>
      <c r="H40" s="115"/>
      <c r="I40" s="115"/>
    </row>
    <row r="41" spans="1:9" s="172" customFormat="1" ht="15">
      <c r="A41" s="140" t="s">
        <v>18</v>
      </c>
      <c r="B41" s="366" t="s">
        <v>173</v>
      </c>
      <c r="C41" s="150"/>
      <c r="D41" s="349" t="s">
        <v>169</v>
      </c>
      <c r="E41" s="353">
        <v>400</v>
      </c>
      <c r="F41" s="489">
        <v>4296</v>
      </c>
      <c r="G41" s="489"/>
      <c r="H41" s="115"/>
      <c r="I41" s="115"/>
    </row>
    <row r="42" spans="1:9" s="172" customFormat="1" ht="15">
      <c r="A42" s="140" t="s">
        <v>20</v>
      </c>
      <c r="B42" s="413" t="s">
        <v>547</v>
      </c>
      <c r="C42" s="442"/>
      <c r="D42" s="349" t="s">
        <v>548</v>
      </c>
      <c r="E42" s="353">
        <v>1</v>
      </c>
      <c r="F42" s="418">
        <v>440</v>
      </c>
      <c r="G42" s="418"/>
      <c r="H42" s="115"/>
      <c r="I42" s="115"/>
    </row>
    <row r="43" spans="1:9" s="172" customFormat="1" ht="15">
      <c r="A43" s="140" t="s">
        <v>22</v>
      </c>
      <c r="B43" s="382" t="s">
        <v>694</v>
      </c>
      <c r="C43" s="432"/>
      <c r="D43" s="349"/>
      <c r="E43" s="353"/>
      <c r="F43" s="424">
        <v>23000</v>
      </c>
      <c r="G43" s="424"/>
      <c r="H43" s="115"/>
      <c r="I43" s="115"/>
    </row>
    <row r="44" spans="1:9" s="172" customFormat="1" ht="15">
      <c r="A44" s="140" t="s">
        <v>24</v>
      </c>
      <c r="B44" s="382" t="s">
        <v>170</v>
      </c>
      <c r="C44" s="432"/>
      <c r="D44" s="119"/>
      <c r="E44" s="153"/>
      <c r="F44" s="424">
        <v>12300</v>
      </c>
      <c r="G44" s="424"/>
      <c r="H44" s="115"/>
      <c r="I44" s="115"/>
    </row>
    <row r="45" spans="1:9" s="115" customFormat="1" ht="13.5" customHeight="1">
      <c r="A45" s="140" t="s">
        <v>103</v>
      </c>
      <c r="B45" s="149" t="s">
        <v>191</v>
      </c>
      <c r="C45" s="150"/>
      <c r="D45" s="119"/>
      <c r="E45" s="119"/>
      <c r="F45" s="476">
        <f>E25*1%</f>
        <v>848.4911999999999</v>
      </c>
      <c r="G45" s="476"/>
      <c r="H45" s="35"/>
      <c r="I45" s="35"/>
    </row>
    <row r="46" spans="1:9" ht="13.5" customHeight="1">
      <c r="A46" s="67"/>
      <c r="B46" s="67"/>
      <c r="C46" s="67"/>
      <c r="D46" s="67"/>
      <c r="E46" s="67"/>
      <c r="F46" s="67"/>
      <c r="G46" s="67"/>
      <c r="H46" s="67"/>
      <c r="I46" s="67"/>
    </row>
    <row r="47" spans="1:9" ht="13.5" customHeight="1">
      <c r="A47" s="67" t="s">
        <v>55</v>
      </c>
      <c r="B47" s="67"/>
      <c r="C47" s="67" t="s">
        <v>49</v>
      </c>
      <c r="D47" s="67"/>
      <c r="E47" s="67"/>
      <c r="F47" s="67" t="s">
        <v>90</v>
      </c>
      <c r="G47" s="67"/>
      <c r="H47" s="67"/>
      <c r="I47" s="67"/>
    </row>
    <row r="48" spans="1:9" ht="13.5" customHeight="1">
      <c r="A48" s="67"/>
      <c r="B48" s="67"/>
      <c r="C48" s="67"/>
      <c r="D48" s="67"/>
      <c r="E48" s="67"/>
      <c r="F48" s="127" t="s">
        <v>438</v>
      </c>
      <c r="G48" s="67"/>
      <c r="H48" s="67"/>
      <c r="I48" s="67"/>
    </row>
    <row r="49" spans="1:9" ht="13.5" customHeight="1">
      <c r="A49" s="67" t="s">
        <v>50</v>
      </c>
      <c r="B49" s="67"/>
      <c r="C49" s="67"/>
      <c r="D49" s="67"/>
      <c r="E49" s="67"/>
      <c r="F49" s="67"/>
      <c r="G49" s="67"/>
      <c r="H49" s="67"/>
      <c r="I49" s="67"/>
    </row>
    <row r="50" spans="1:9" ht="13.5" customHeight="1">
      <c r="A50" s="67"/>
      <c r="B50" s="67"/>
      <c r="C50" s="129" t="s">
        <v>51</v>
      </c>
      <c r="D50" s="67"/>
      <c r="E50" s="129"/>
      <c r="F50" s="129"/>
      <c r="G50" s="129"/>
      <c r="H50" s="67"/>
      <c r="I50" s="67"/>
    </row>
    <row r="51" spans="2:5" ht="6.75" customHeight="1">
      <c r="B51" s="155"/>
      <c r="C51" s="155"/>
      <c r="D51" s="155"/>
      <c r="E51" s="155"/>
    </row>
    <row r="52" s="67" customFormat="1" ht="15"/>
  </sheetData>
  <sheetProtection/>
  <mergeCells count="22">
    <mergeCell ref="F45:G45"/>
    <mergeCell ref="A12:I12"/>
    <mergeCell ref="A32:C32"/>
    <mergeCell ref="A36:I36"/>
    <mergeCell ref="B38:C38"/>
    <mergeCell ref="F38:G38"/>
    <mergeCell ref="A1:I1"/>
    <mergeCell ref="A2:I2"/>
    <mergeCell ref="A3:K3"/>
    <mergeCell ref="A5:I5"/>
    <mergeCell ref="A10:I10"/>
    <mergeCell ref="B43:C43"/>
    <mergeCell ref="F43:G43"/>
    <mergeCell ref="B42:C42"/>
    <mergeCell ref="F42:G42"/>
    <mergeCell ref="A11:I11"/>
    <mergeCell ref="F39:G39"/>
    <mergeCell ref="B44:C44"/>
    <mergeCell ref="F44:G44"/>
    <mergeCell ref="F41:G41"/>
    <mergeCell ref="B39:C39"/>
    <mergeCell ref="F40:G40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zoomScalePageLayoutView="0" workbookViewId="0" topLeftCell="A34">
      <selection activeCell="F43" sqref="F43:G47"/>
    </sheetView>
  </sheetViews>
  <sheetFormatPr defaultColWidth="9.140625" defaultRowHeight="15" outlineLevelCol="1"/>
  <cols>
    <col min="1" max="1" width="4.7109375" style="35" customWidth="1"/>
    <col min="2" max="2" width="48.140625" style="35" customWidth="1"/>
    <col min="3" max="3" width="13.00390625" style="35" customWidth="1"/>
    <col min="4" max="4" width="13.140625" style="35" customWidth="1"/>
    <col min="5" max="5" width="12.7109375" style="35" customWidth="1"/>
    <col min="6" max="6" width="13.140625" style="35" customWidth="1"/>
    <col min="7" max="7" width="13.8515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.7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7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6" customHeight="1"/>
    <row r="7" spans="1:6" s="67" customFormat="1" ht="16.5" customHeight="1">
      <c r="A7" s="67" t="s">
        <v>2</v>
      </c>
      <c r="F7" s="127" t="s">
        <v>85</v>
      </c>
    </row>
    <row r="8" spans="1:11" s="67" customFormat="1" ht="15">
      <c r="A8" s="67" t="s">
        <v>3</v>
      </c>
      <c r="F8" s="295" t="s">
        <v>463</v>
      </c>
      <c r="I8" s="202">
        <v>672.7</v>
      </c>
      <c r="J8" s="202">
        <v>2067.9</v>
      </c>
      <c r="K8" s="202">
        <f>I8+J8</f>
        <v>2740.6000000000004</v>
      </c>
    </row>
    <row r="9" s="67" customFormat="1" ht="4.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'[1]Чичерина 22'!$G$36</f>
        <v>13853.51</v>
      </c>
      <c r="H14" s="62"/>
      <c r="I14" s="62"/>
    </row>
    <row r="15" spans="1:9" s="67" customFormat="1" ht="15.75" thickBot="1">
      <c r="A15" s="63" t="s">
        <v>462</v>
      </c>
      <c r="B15" s="64"/>
      <c r="C15" s="64"/>
      <c r="D15" s="69"/>
      <c r="E15" s="70"/>
      <c r="F15" s="70"/>
      <c r="G15" s="145">
        <f>'[1]Чичерина 22'!$G$37</f>
        <v>38181.284400000004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15">
      <c r="A18" s="75" t="s">
        <v>14</v>
      </c>
      <c r="B18" s="41" t="s">
        <v>15</v>
      </c>
      <c r="C18" s="136">
        <f>C19+C20+C21+C22</f>
        <v>9.879999999999999</v>
      </c>
      <c r="D18" s="76">
        <v>245320.8</v>
      </c>
      <c r="E18" s="76">
        <v>232822.97</v>
      </c>
      <c r="F18" s="76">
        <f aca="true" t="shared" si="0" ref="F18:F25">D18</f>
        <v>245320.8</v>
      </c>
      <c r="G18" s="77">
        <f>D18-E18</f>
        <v>12497.829999999987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85911.94008097166</v>
      </c>
      <c r="E19" s="83">
        <f>E18*I19</f>
        <v>81535.16965587046</v>
      </c>
      <c r="F19" s="83">
        <f t="shared" si="0"/>
        <v>85911.94008097166</v>
      </c>
      <c r="G19" s="84">
        <f>D19-E19</f>
        <v>4376.770425101204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41962.76842105263</v>
      </c>
      <c r="E20" s="83">
        <f>E18*I20</f>
        <v>39824.981710526314</v>
      </c>
      <c r="F20" s="83">
        <f t="shared" si="0"/>
        <v>41962.76842105263</v>
      </c>
      <c r="G20" s="84">
        <f aca="true" t="shared" si="1" ref="G20:G32">D20-E20</f>
        <v>2137.786710526314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41962.76842105263</v>
      </c>
      <c r="E21" s="83">
        <f>E18*I21</f>
        <v>39824.981710526314</v>
      </c>
      <c r="F21" s="83">
        <f t="shared" si="0"/>
        <v>41962.76842105263</v>
      </c>
      <c r="G21" s="84">
        <f t="shared" si="1"/>
        <v>2137.786710526314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75483.32307692307</v>
      </c>
      <c r="E22" s="83">
        <f>E18*I22</f>
        <v>71637.83692307693</v>
      </c>
      <c r="F22" s="83">
        <f t="shared" si="0"/>
        <v>75483.32307692307</v>
      </c>
      <c r="G22" s="84">
        <f t="shared" si="1"/>
        <v>3845.486153846141</v>
      </c>
      <c r="H22" s="146">
        <f>C22</f>
        <v>3.04</v>
      </c>
      <c r="I22" s="67">
        <f>H22/H18</f>
        <v>0.3076923076923077</v>
      </c>
    </row>
    <row r="23" spans="1:7" ht="15">
      <c r="A23" s="41" t="s">
        <v>25</v>
      </c>
      <c r="B23" s="141" t="s">
        <v>137</v>
      </c>
      <c r="C23" s="46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1" t="s">
        <v>163</v>
      </c>
      <c r="C25" s="142">
        <v>0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1" t="s">
        <v>116</v>
      </c>
      <c r="C26" s="97">
        <v>1.86</v>
      </c>
      <c r="D26" s="77">
        <v>46155.72</v>
      </c>
      <c r="E26" s="77">
        <v>43508.91</v>
      </c>
      <c r="F26" s="87">
        <f>F42</f>
        <v>53216.1991</v>
      </c>
      <c r="G26" s="77">
        <f t="shared" si="1"/>
        <v>2646.8099999999977</v>
      </c>
    </row>
    <row r="27" spans="1:7" ht="15">
      <c r="A27" s="41" t="s">
        <v>33</v>
      </c>
      <c r="B27" s="135" t="s">
        <v>34</v>
      </c>
      <c r="C27" s="46">
        <v>0</v>
      </c>
      <c r="D27" s="77">
        <v>0</v>
      </c>
      <c r="E27" s="77">
        <v>8.57</v>
      </c>
      <c r="F27" s="87">
        <v>0</v>
      </c>
      <c r="G27" s="77">
        <f t="shared" si="1"/>
        <v>-8.57</v>
      </c>
    </row>
    <row r="28" spans="1:7" ht="15">
      <c r="A28" s="41" t="s">
        <v>35</v>
      </c>
      <c r="B28" s="135" t="s">
        <v>36</v>
      </c>
      <c r="C28" s="97"/>
      <c r="D28" s="77">
        <f>SUM(D29:D32)</f>
        <v>1202632.55</v>
      </c>
      <c r="E28" s="77">
        <f>SUM(E29:E32)</f>
        <v>1168284.48</v>
      </c>
      <c r="F28" s="77">
        <f>SUM(F29:F32)</f>
        <v>1202632.55</v>
      </c>
      <c r="G28" s="77">
        <f t="shared" si="1"/>
        <v>34348.070000000065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15274.4</v>
      </c>
      <c r="E29" s="84">
        <v>11026.81</v>
      </c>
      <c r="F29" s="84">
        <f>D29</f>
        <v>15274.4</v>
      </c>
      <c r="G29" s="84">
        <f t="shared" si="1"/>
        <v>4247.59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284376.08</v>
      </c>
      <c r="E30" s="84">
        <v>272585.23</v>
      </c>
      <c r="F30" s="84">
        <f>D30</f>
        <v>284376.08</v>
      </c>
      <c r="G30" s="84">
        <f t="shared" si="1"/>
        <v>11790.850000000035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15">
      <c r="A32" s="34" t="s">
        <v>41</v>
      </c>
      <c r="B32" s="34" t="s">
        <v>43</v>
      </c>
      <c r="C32" s="289" t="s">
        <v>407</v>
      </c>
      <c r="D32" s="84">
        <v>902982.07</v>
      </c>
      <c r="E32" s="84">
        <v>884672.44</v>
      </c>
      <c r="F32" s="84">
        <f>D32</f>
        <v>902982.07</v>
      </c>
      <c r="G32" s="84">
        <f t="shared" si="1"/>
        <v>18309.630000000005</v>
      </c>
      <c r="H32" s="101"/>
      <c r="I32" s="101"/>
    </row>
    <row r="33" spans="1:9" ht="15.75" thickBot="1">
      <c r="A33" s="379" t="s">
        <v>328</v>
      </c>
      <c r="B33" s="380"/>
      <c r="C33" s="380"/>
      <c r="D33" s="381"/>
      <c r="E33" s="381"/>
      <c r="F33" s="381"/>
      <c r="G33" s="171"/>
      <c r="H33" s="101"/>
      <c r="I33" s="101"/>
    </row>
    <row r="34" spans="1:10" s="102" customFormat="1" ht="14.25" thickBot="1">
      <c r="A34" s="391" t="s">
        <v>410</v>
      </c>
      <c r="B34" s="392"/>
      <c r="C34" s="392"/>
      <c r="D34" s="65">
        <v>1073050.18</v>
      </c>
      <c r="E34" s="66"/>
      <c r="F34" s="66"/>
      <c r="G34" s="66"/>
      <c r="H34" s="62"/>
      <c r="I34" s="62"/>
      <c r="J34" s="101"/>
    </row>
    <row r="35" spans="1:9" s="67" customFormat="1" ht="7.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13862.08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28473.99530000001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31.5" customHeight="1">
      <c r="A39" s="463" t="s">
        <v>44</v>
      </c>
      <c r="B39" s="463"/>
      <c r="C39" s="463"/>
      <c r="D39" s="463"/>
      <c r="E39" s="463"/>
      <c r="F39" s="463"/>
      <c r="G39" s="463"/>
      <c r="H39" s="463"/>
      <c r="I39" s="463"/>
    </row>
    <row r="41" spans="1:9" ht="28.5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20"/>
      <c r="H41" s="172"/>
      <c r="I41" s="172"/>
    </row>
    <row r="42" spans="1:9" s="172" customFormat="1" ht="15">
      <c r="A42" s="109" t="s">
        <v>47</v>
      </c>
      <c r="B42" s="403" t="s">
        <v>111</v>
      </c>
      <c r="C42" s="425"/>
      <c r="D42" s="111"/>
      <c r="E42" s="111"/>
      <c r="F42" s="430">
        <f>SUM(F43:G47)</f>
        <v>53216.1991</v>
      </c>
      <c r="G42" s="419"/>
      <c r="H42" s="115"/>
      <c r="I42" s="115"/>
    </row>
    <row r="43" spans="1:9" s="172" customFormat="1" ht="15">
      <c r="A43" s="140" t="s">
        <v>16</v>
      </c>
      <c r="B43" s="443" t="s">
        <v>643</v>
      </c>
      <c r="C43" s="444"/>
      <c r="D43" s="365" t="s">
        <v>561</v>
      </c>
      <c r="E43" s="365">
        <v>5</v>
      </c>
      <c r="F43" s="496">
        <v>9500</v>
      </c>
      <c r="G43" s="497"/>
      <c r="H43" s="115"/>
      <c r="I43" s="115"/>
    </row>
    <row r="44" spans="1:9" s="172" customFormat="1" ht="15">
      <c r="A44" s="140" t="s">
        <v>18</v>
      </c>
      <c r="B44" s="443" t="s">
        <v>644</v>
      </c>
      <c r="C44" s="444"/>
      <c r="D44" s="365" t="s">
        <v>230</v>
      </c>
      <c r="E44" s="365">
        <v>0.01</v>
      </c>
      <c r="F44" s="496">
        <v>12435.11</v>
      </c>
      <c r="G44" s="497"/>
      <c r="H44" s="115"/>
      <c r="I44" s="115"/>
    </row>
    <row r="45" spans="1:9" s="172" customFormat="1" ht="15">
      <c r="A45" s="140" t="s">
        <v>20</v>
      </c>
      <c r="B45" s="411" t="s">
        <v>706</v>
      </c>
      <c r="C45" s="426"/>
      <c r="D45" s="365"/>
      <c r="E45" s="205" t="s">
        <v>699</v>
      </c>
      <c r="F45" s="498">
        <v>846</v>
      </c>
      <c r="G45" s="419"/>
      <c r="H45" s="115"/>
      <c r="I45" s="115"/>
    </row>
    <row r="46" spans="1:9" s="172" customFormat="1" ht="15">
      <c r="A46" s="140" t="s">
        <v>22</v>
      </c>
      <c r="B46" s="411" t="s">
        <v>707</v>
      </c>
      <c r="C46" s="426"/>
      <c r="D46" s="365"/>
      <c r="E46" s="365"/>
      <c r="F46" s="498">
        <v>30000</v>
      </c>
      <c r="G46" s="419"/>
      <c r="H46" s="115"/>
      <c r="I46" s="115"/>
    </row>
    <row r="47" spans="1:9" s="115" customFormat="1" ht="13.5" customHeight="1">
      <c r="A47" s="140" t="s">
        <v>24</v>
      </c>
      <c r="B47" s="149" t="s">
        <v>191</v>
      </c>
      <c r="C47" s="150"/>
      <c r="D47" s="119"/>
      <c r="E47" s="119"/>
      <c r="F47" s="476">
        <f>E26*1%</f>
        <v>435.08910000000003</v>
      </c>
      <c r="G47" s="476"/>
      <c r="H47" s="35"/>
      <c r="I47" s="35"/>
    </row>
    <row r="48" spans="1:9" ht="13.5" customHeight="1">
      <c r="A48" s="67"/>
      <c r="B48" s="67"/>
      <c r="C48" s="67"/>
      <c r="D48" s="67"/>
      <c r="E48" s="67"/>
      <c r="F48" s="67"/>
      <c r="G48" s="67"/>
      <c r="H48" s="67"/>
      <c r="I48" s="67"/>
    </row>
    <row r="49" spans="1:9" ht="13.5" customHeight="1">
      <c r="A49" s="67" t="s">
        <v>55</v>
      </c>
      <c r="B49" s="67"/>
      <c r="C49" s="67" t="s">
        <v>49</v>
      </c>
      <c r="D49" s="67"/>
      <c r="E49" s="67"/>
      <c r="F49" s="67" t="s">
        <v>90</v>
      </c>
      <c r="G49" s="67"/>
      <c r="H49" s="67"/>
      <c r="I49" s="67"/>
    </row>
    <row r="50" spans="1:9" ht="13.5" customHeight="1">
      <c r="A50" s="67"/>
      <c r="B50" s="67"/>
      <c r="C50" s="67"/>
      <c r="D50" s="67"/>
      <c r="E50" s="67"/>
      <c r="F50" s="127" t="s">
        <v>438</v>
      </c>
      <c r="G50" s="67"/>
      <c r="H50" s="67"/>
      <c r="I50" s="67"/>
    </row>
    <row r="51" spans="1:9" ht="13.5" customHeight="1">
      <c r="A51" s="67" t="s">
        <v>50</v>
      </c>
      <c r="B51" s="67"/>
      <c r="C51" s="67"/>
      <c r="D51" s="67"/>
      <c r="E51" s="67"/>
      <c r="F51" s="67"/>
      <c r="G51" s="67"/>
      <c r="H51" s="67"/>
      <c r="I51" s="67"/>
    </row>
    <row r="52" spans="3:7" s="67" customFormat="1" ht="15">
      <c r="C52" s="129" t="s">
        <v>51</v>
      </c>
      <c r="E52" s="129"/>
      <c r="F52" s="129"/>
      <c r="G52" s="129"/>
    </row>
    <row r="53" spans="1:9" s="67" customFormat="1" ht="15">
      <c r="A53" s="35"/>
      <c r="B53" s="155"/>
      <c r="C53" s="155"/>
      <c r="D53" s="155"/>
      <c r="E53" s="155"/>
      <c r="F53" s="35"/>
      <c r="G53" s="35"/>
      <c r="H53" s="35"/>
      <c r="I53" s="35"/>
    </row>
    <row r="54" s="67" customFormat="1" ht="13.5" customHeight="1"/>
  </sheetData>
  <sheetProtection/>
  <mergeCells count="23">
    <mergeCell ref="F47:G47"/>
    <mergeCell ref="A1:I1"/>
    <mergeCell ref="A2:I2"/>
    <mergeCell ref="A5:I5"/>
    <mergeCell ref="A10:I10"/>
    <mergeCell ref="A3:K3"/>
    <mergeCell ref="A11:I11"/>
    <mergeCell ref="A39:I39"/>
    <mergeCell ref="B41:C41"/>
    <mergeCell ref="F41:G41"/>
    <mergeCell ref="B46:C46"/>
    <mergeCell ref="F45:G45"/>
    <mergeCell ref="F46:G46"/>
    <mergeCell ref="B42:C42"/>
    <mergeCell ref="B43:C43"/>
    <mergeCell ref="F43:G43"/>
    <mergeCell ref="A12:I12"/>
    <mergeCell ref="B44:C44"/>
    <mergeCell ref="B45:C45"/>
    <mergeCell ref="F44:G44"/>
    <mergeCell ref="A33:F33"/>
    <mergeCell ref="F42:G42"/>
    <mergeCell ref="A34:C3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M47" sqref="M47"/>
    </sheetView>
  </sheetViews>
  <sheetFormatPr defaultColWidth="9.140625" defaultRowHeight="15" outlineLevelCol="1"/>
  <cols>
    <col min="1" max="1" width="3.57421875" style="19" customWidth="1"/>
    <col min="2" max="2" width="24.8515625" style="19" customWidth="1"/>
    <col min="3" max="3" width="8.00390625" style="19" customWidth="1"/>
    <col min="4" max="4" width="10.140625" style="19" customWidth="1"/>
    <col min="5" max="5" width="10.8515625" style="19" customWidth="1"/>
    <col min="6" max="6" width="10.57421875" style="19" customWidth="1"/>
    <col min="7" max="7" width="11.28125" style="19" customWidth="1"/>
    <col min="8" max="8" width="10.140625" style="19" customWidth="1"/>
    <col min="9" max="9" width="10.421875" style="19" customWidth="1"/>
    <col min="10" max="11" width="9.140625" style="19" hidden="1" customWidth="1" outlineLevel="1"/>
    <col min="12" max="12" width="9.140625" style="19" customWidth="1" collapsed="1"/>
    <col min="13" max="16384" width="9.140625" style="19" customWidth="1"/>
  </cols>
  <sheetData>
    <row r="1" spans="1:9" ht="12.75">
      <c r="A1" s="518" t="s">
        <v>0</v>
      </c>
      <c r="B1" s="518"/>
      <c r="C1" s="518"/>
      <c r="D1" s="518"/>
      <c r="E1" s="518"/>
      <c r="F1" s="518"/>
      <c r="G1" s="518"/>
      <c r="H1" s="518"/>
      <c r="I1" s="518"/>
    </row>
    <row r="2" spans="1:9" ht="12.75">
      <c r="A2" s="518" t="s">
        <v>52</v>
      </c>
      <c r="B2" s="518"/>
      <c r="C2" s="518"/>
      <c r="D2" s="518"/>
      <c r="E2" s="518"/>
      <c r="F2" s="518"/>
      <c r="G2" s="518"/>
      <c r="H2" s="518"/>
      <c r="I2" s="518"/>
    </row>
    <row r="3" spans="1:9" ht="12.75">
      <c r="A3" s="518" t="s">
        <v>95</v>
      </c>
      <c r="B3" s="518"/>
      <c r="C3" s="518"/>
      <c r="D3" s="518"/>
      <c r="E3" s="518"/>
      <c r="F3" s="518"/>
      <c r="G3" s="518"/>
      <c r="H3" s="518"/>
      <c r="I3" s="518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512" t="s">
        <v>1</v>
      </c>
      <c r="B5" s="518"/>
      <c r="C5" s="518"/>
      <c r="D5" s="518"/>
      <c r="E5" s="518"/>
      <c r="F5" s="518"/>
      <c r="G5" s="518"/>
      <c r="H5" s="518"/>
      <c r="I5" s="518"/>
    </row>
    <row r="7" spans="1:6" s="21" customFormat="1" ht="12.75">
      <c r="A7" s="21" t="s">
        <v>2</v>
      </c>
      <c r="F7" s="22" t="s">
        <v>53</v>
      </c>
    </row>
    <row r="8" spans="1:6" s="21" customFormat="1" ht="12.75">
      <c r="A8" s="21" t="s">
        <v>3</v>
      </c>
      <c r="F8" s="22" t="s">
        <v>54</v>
      </c>
    </row>
    <row r="9" s="21" customFormat="1" ht="12.75">
      <c r="A9" s="21" t="s">
        <v>4</v>
      </c>
    </row>
    <row r="10" spans="1:6" s="21" customFormat="1" ht="12.75">
      <c r="A10" s="21" t="s">
        <v>5</v>
      </c>
      <c r="F10" s="22" t="s">
        <v>6</v>
      </c>
    </row>
    <row r="11" spans="1:6" s="21" customFormat="1" ht="12.75">
      <c r="A11" s="21" t="s">
        <v>7</v>
      </c>
      <c r="F11" s="22" t="s">
        <v>6</v>
      </c>
    </row>
    <row r="12" s="21" customFormat="1" ht="12.75"/>
    <row r="13" spans="1:9" s="21" customFormat="1" ht="12.75">
      <c r="A13" s="508" t="s">
        <v>8</v>
      </c>
      <c r="B13" s="508"/>
      <c r="C13" s="508"/>
      <c r="D13" s="508"/>
      <c r="E13" s="508"/>
      <c r="F13" s="508"/>
      <c r="G13" s="508"/>
      <c r="H13" s="508"/>
      <c r="I13" s="508"/>
    </row>
    <row r="14" spans="1:9" s="21" customFormat="1" ht="12.75">
      <c r="A14" s="508" t="s">
        <v>9</v>
      </c>
      <c r="B14" s="508"/>
      <c r="C14" s="508"/>
      <c r="D14" s="508"/>
      <c r="E14" s="508"/>
      <c r="F14" s="508"/>
      <c r="G14" s="508"/>
      <c r="H14" s="508"/>
      <c r="I14" s="508"/>
    </row>
    <row r="15" spans="1:9" s="21" customFormat="1" ht="12.75">
      <c r="A15" s="508" t="s">
        <v>10</v>
      </c>
      <c r="B15" s="508"/>
      <c r="C15" s="508"/>
      <c r="D15" s="508"/>
      <c r="E15" s="508"/>
      <c r="F15" s="508"/>
      <c r="G15" s="508"/>
      <c r="H15" s="508"/>
      <c r="I15" s="508"/>
    </row>
    <row r="16" s="21" customFormat="1" ht="12.75"/>
    <row r="17" spans="1:9" s="14" customFormat="1" ht="51">
      <c r="A17" s="5" t="s">
        <v>11</v>
      </c>
      <c r="B17" s="5" t="s">
        <v>12</v>
      </c>
      <c r="C17" s="5" t="s">
        <v>91</v>
      </c>
      <c r="D17" s="5" t="s">
        <v>13</v>
      </c>
      <c r="E17" s="5" t="s">
        <v>86</v>
      </c>
      <c r="F17" s="5" t="s">
        <v>87</v>
      </c>
      <c r="G17" s="13" t="s">
        <v>88</v>
      </c>
      <c r="H17" s="5" t="s">
        <v>89</v>
      </c>
      <c r="I17" s="5" t="s">
        <v>101</v>
      </c>
    </row>
    <row r="18" spans="1:11" s="21" customFormat="1" ht="25.5">
      <c r="A18" s="23" t="s">
        <v>14</v>
      </c>
      <c r="B18" s="24" t="s">
        <v>15</v>
      </c>
      <c r="C18" s="25">
        <v>6.75</v>
      </c>
      <c r="D18" s="23">
        <v>-25096.32</v>
      </c>
      <c r="E18" s="23">
        <v>174103.45</v>
      </c>
      <c r="F18" s="26">
        <v>169317.59</v>
      </c>
      <c r="G18" s="26">
        <f>E18</f>
        <v>174103.45</v>
      </c>
      <c r="H18" s="27">
        <f aca="true" t="shared" si="0" ref="H18:H33">D18+F18-G18</f>
        <v>-29882.180000000022</v>
      </c>
      <c r="I18" s="27">
        <f aca="true" t="shared" si="1" ref="I18:I33">F18-E18</f>
        <v>-4785.860000000015</v>
      </c>
      <c r="J18" s="28">
        <v>6.75</v>
      </c>
      <c r="K18" s="28"/>
    </row>
    <row r="19" spans="1:11" s="21" customFormat="1" ht="25.5">
      <c r="A19" s="23" t="s">
        <v>16</v>
      </c>
      <c r="B19" s="24" t="s">
        <v>17</v>
      </c>
      <c r="C19" s="25">
        <v>2.41</v>
      </c>
      <c r="D19" s="26">
        <v>-8687.19</v>
      </c>
      <c r="E19" s="26">
        <f>E18*K19</f>
        <v>62161.37992592593</v>
      </c>
      <c r="F19" s="26">
        <f>F18*K19</f>
        <v>60452.65065185185</v>
      </c>
      <c r="G19" s="26">
        <f>E19</f>
        <v>62161.37992592593</v>
      </c>
      <c r="H19" s="27">
        <f t="shared" si="0"/>
        <v>-10395.919274074084</v>
      </c>
      <c r="I19" s="27">
        <f t="shared" si="1"/>
        <v>-1708.7292740740813</v>
      </c>
      <c r="J19" s="28">
        <v>2.41</v>
      </c>
      <c r="K19" s="28">
        <f>J19/J18</f>
        <v>0.35703703703703704</v>
      </c>
    </row>
    <row r="20" spans="1:11" s="21" customFormat="1" ht="25.5">
      <c r="A20" s="23" t="s">
        <v>18</v>
      </c>
      <c r="B20" s="24" t="s">
        <v>19</v>
      </c>
      <c r="C20" s="25">
        <v>1.2</v>
      </c>
      <c r="D20" s="26">
        <v>-4918.14</v>
      </c>
      <c r="E20" s="26">
        <f>E18*K20</f>
        <v>30951.724444444448</v>
      </c>
      <c r="F20" s="26">
        <f>F18*K20</f>
        <v>30100.90488888889</v>
      </c>
      <c r="G20" s="26">
        <f>E20</f>
        <v>30951.724444444448</v>
      </c>
      <c r="H20" s="27">
        <f t="shared" si="0"/>
        <v>-5768.959555555557</v>
      </c>
      <c r="I20" s="27">
        <f t="shared" si="1"/>
        <v>-850.8195555555576</v>
      </c>
      <c r="J20" s="28">
        <v>1.2</v>
      </c>
      <c r="K20" s="28">
        <f>J20/J18</f>
        <v>0.17777777777777778</v>
      </c>
    </row>
    <row r="21" spans="1:11" s="21" customFormat="1" ht="25.5">
      <c r="A21" s="23" t="s">
        <v>20</v>
      </c>
      <c r="B21" s="24" t="s">
        <v>21</v>
      </c>
      <c r="C21" s="25">
        <v>1.51</v>
      </c>
      <c r="D21" s="26">
        <v>-6113.21</v>
      </c>
      <c r="E21" s="26">
        <f>E18*K21</f>
        <v>38947.5865925926</v>
      </c>
      <c r="F21" s="26">
        <f>F18*K21</f>
        <v>37876.971985185184</v>
      </c>
      <c r="G21" s="26">
        <f>E21</f>
        <v>38947.5865925926</v>
      </c>
      <c r="H21" s="27">
        <f t="shared" si="0"/>
        <v>-7183.824607407412</v>
      </c>
      <c r="I21" s="27">
        <f t="shared" si="1"/>
        <v>-1070.6146074074131</v>
      </c>
      <c r="J21" s="28">
        <v>1.51</v>
      </c>
      <c r="K21" s="28">
        <f>J21/J18</f>
        <v>0.2237037037037037</v>
      </c>
    </row>
    <row r="22" spans="1:11" s="21" customFormat="1" ht="25.5">
      <c r="A22" s="23" t="s">
        <v>22</v>
      </c>
      <c r="B22" s="24" t="s">
        <v>23</v>
      </c>
      <c r="C22" s="25">
        <v>1.63</v>
      </c>
      <c r="D22" s="26">
        <v>-5377.78</v>
      </c>
      <c r="E22" s="26">
        <f>E18*K22</f>
        <v>42042.75903703704</v>
      </c>
      <c r="F22" s="26">
        <f>F18*K22</f>
        <v>40887.06247407407</v>
      </c>
      <c r="G22" s="26">
        <f>E22</f>
        <v>42042.75903703704</v>
      </c>
      <c r="H22" s="27">
        <f t="shared" si="0"/>
        <v>-6533.476562962969</v>
      </c>
      <c r="I22" s="27">
        <f t="shared" si="1"/>
        <v>-1155.6965629629703</v>
      </c>
      <c r="J22" s="28">
        <v>1.63</v>
      </c>
      <c r="K22" s="28">
        <f>J22/J18</f>
        <v>0.24148148148148146</v>
      </c>
    </row>
    <row r="23" spans="1:9" ht="12.75">
      <c r="A23" s="24" t="s">
        <v>25</v>
      </c>
      <c r="B23" s="24" t="s">
        <v>26</v>
      </c>
      <c r="C23" s="25">
        <v>3.15</v>
      </c>
      <c r="D23" s="24">
        <v>0</v>
      </c>
      <c r="E23" s="24">
        <v>0</v>
      </c>
      <c r="F23" s="27">
        <v>0</v>
      </c>
      <c r="G23" s="27">
        <v>0</v>
      </c>
      <c r="H23" s="27">
        <f t="shared" si="0"/>
        <v>0</v>
      </c>
      <c r="I23" s="27">
        <f t="shared" si="1"/>
        <v>0</v>
      </c>
    </row>
    <row r="24" spans="1:9" ht="12.75">
      <c r="A24" s="24" t="s">
        <v>27</v>
      </c>
      <c r="B24" s="24" t="s">
        <v>28</v>
      </c>
      <c r="C24" s="12">
        <v>2.6</v>
      </c>
      <c r="D24" s="24">
        <v>-6439.37</v>
      </c>
      <c r="E24" s="24">
        <v>59389.92</v>
      </c>
      <c r="F24" s="27">
        <v>57568.62</v>
      </c>
      <c r="G24" s="27">
        <f>E24</f>
        <v>59389.92</v>
      </c>
      <c r="H24" s="27">
        <f t="shared" si="0"/>
        <v>-8260.669999999998</v>
      </c>
      <c r="I24" s="27">
        <f t="shared" si="1"/>
        <v>-1821.2999999999956</v>
      </c>
    </row>
    <row r="25" spans="1:9" ht="12.75" customHeight="1">
      <c r="A25" s="24" t="s">
        <v>29</v>
      </c>
      <c r="B25" s="24" t="s">
        <v>30</v>
      </c>
      <c r="C25" s="25">
        <v>0.81</v>
      </c>
      <c r="D25" s="24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24">
        <f t="shared" si="1"/>
        <v>0</v>
      </c>
    </row>
    <row r="26" spans="1:9" ht="25.5">
      <c r="A26" s="24" t="s">
        <v>31</v>
      </c>
      <c r="B26" s="24" t="s">
        <v>32</v>
      </c>
      <c r="C26" s="25">
        <v>1.61</v>
      </c>
      <c r="D26" s="24">
        <v>-28369.61</v>
      </c>
      <c r="E26" s="24">
        <v>65703.01</v>
      </c>
      <c r="F26" s="24">
        <v>65330.4</v>
      </c>
      <c r="G26" s="24">
        <v>24581.67</v>
      </c>
      <c r="H26" s="24">
        <f>D26+F26-G26</f>
        <v>12379.120000000003</v>
      </c>
      <c r="I26" s="24">
        <f>F26-E26</f>
        <v>-372.6099999999933</v>
      </c>
    </row>
    <row r="27" spans="1:9" s="33" customFormat="1" ht="12.75">
      <c r="A27" s="516" t="s">
        <v>102</v>
      </c>
      <c r="B27" s="517"/>
      <c r="C27" s="31"/>
      <c r="D27" s="32">
        <f aca="true" t="shared" si="2" ref="D27:I27">D18+D23+D24+D25+D26</f>
        <v>-59905.3</v>
      </c>
      <c r="E27" s="32">
        <f t="shared" si="2"/>
        <v>299196.38</v>
      </c>
      <c r="F27" s="32">
        <f t="shared" si="2"/>
        <v>292216.61</v>
      </c>
      <c r="G27" s="32">
        <f t="shared" si="2"/>
        <v>258075.03999999998</v>
      </c>
      <c r="H27" s="32">
        <f t="shared" si="2"/>
        <v>-25763.730000000018</v>
      </c>
      <c r="I27" s="32">
        <f t="shared" si="2"/>
        <v>-6979.770000000004</v>
      </c>
    </row>
    <row r="28" spans="1:9" ht="25.5">
      <c r="A28" s="24" t="s">
        <v>33</v>
      </c>
      <c r="B28" s="24" t="s">
        <v>34</v>
      </c>
      <c r="C28" s="25">
        <v>0</v>
      </c>
      <c r="D28" s="24">
        <v>21203.4</v>
      </c>
      <c r="E28" s="24">
        <v>0</v>
      </c>
      <c r="F28" s="24">
        <v>42.57</v>
      </c>
      <c r="G28" s="24">
        <v>0</v>
      </c>
      <c r="H28" s="24">
        <f t="shared" si="0"/>
        <v>21245.97</v>
      </c>
      <c r="I28" s="24">
        <f t="shared" si="1"/>
        <v>42.57</v>
      </c>
    </row>
    <row r="29" spans="1:9" ht="25.5">
      <c r="A29" s="24" t="s">
        <v>35</v>
      </c>
      <c r="B29" s="24" t="s">
        <v>36</v>
      </c>
      <c r="C29" s="25">
        <f aca="true" t="shared" si="3" ref="C29:I29">SUM(C30:C33)</f>
        <v>1680.9299999999998</v>
      </c>
      <c r="D29" s="24">
        <f t="shared" si="3"/>
        <v>-101927.91</v>
      </c>
      <c r="E29" s="24">
        <f t="shared" si="3"/>
        <v>1158486.7</v>
      </c>
      <c r="F29" s="24">
        <f t="shared" si="3"/>
        <v>1093856.12</v>
      </c>
      <c r="G29" s="24">
        <f t="shared" si="3"/>
        <v>1144236.6</v>
      </c>
      <c r="H29" s="24">
        <f t="shared" si="3"/>
        <v>-152308.38999999996</v>
      </c>
      <c r="I29" s="24">
        <f t="shared" si="3"/>
        <v>-64630.57999999995</v>
      </c>
    </row>
    <row r="30" spans="1:9" ht="12.75">
      <c r="A30" s="24" t="s">
        <v>37</v>
      </c>
      <c r="B30" s="24" t="s">
        <v>93</v>
      </c>
      <c r="C30" s="12">
        <v>3.13</v>
      </c>
      <c r="D30" s="24">
        <v>-5404.73</v>
      </c>
      <c r="E30" s="24">
        <v>14250.1</v>
      </c>
      <c r="F30" s="24">
        <v>16846.06</v>
      </c>
      <c r="G30" s="24"/>
      <c r="H30" s="24">
        <f t="shared" si="0"/>
        <v>11441.330000000002</v>
      </c>
      <c r="I30" s="24">
        <f t="shared" si="1"/>
        <v>2595.960000000001</v>
      </c>
    </row>
    <row r="31" spans="1:9" ht="12.75">
      <c r="A31" s="24" t="s">
        <v>39</v>
      </c>
      <c r="B31" s="24" t="s">
        <v>38</v>
      </c>
      <c r="C31" s="12">
        <v>18.21</v>
      </c>
      <c r="D31" s="24">
        <v>-13533.66</v>
      </c>
      <c r="E31" s="24">
        <v>202200.89</v>
      </c>
      <c r="F31" s="24">
        <v>195379.97</v>
      </c>
      <c r="G31" s="24">
        <f>E31</f>
        <v>202200.89</v>
      </c>
      <c r="H31" s="24">
        <f t="shared" si="0"/>
        <v>-20354.580000000016</v>
      </c>
      <c r="I31" s="24">
        <f t="shared" si="1"/>
        <v>-6820.920000000013</v>
      </c>
    </row>
    <row r="32" spans="1:9" ht="12.75">
      <c r="A32" s="24" t="s">
        <v>42</v>
      </c>
      <c r="B32" s="24" t="s">
        <v>40</v>
      </c>
      <c r="C32" s="12">
        <v>115.3</v>
      </c>
      <c r="D32" s="24">
        <v>-22785.21</v>
      </c>
      <c r="E32" s="24">
        <v>350895.14</v>
      </c>
      <c r="F32" s="24">
        <v>322914.71</v>
      </c>
      <c r="G32" s="24">
        <f>E32</f>
        <v>350895.14</v>
      </c>
      <c r="H32" s="24">
        <f t="shared" si="0"/>
        <v>-50765.640000000014</v>
      </c>
      <c r="I32" s="24">
        <f t="shared" si="1"/>
        <v>-27980.429999999993</v>
      </c>
    </row>
    <row r="33" spans="1:9" ht="12.75">
      <c r="A33" s="24" t="s">
        <v>41</v>
      </c>
      <c r="B33" s="24" t="s">
        <v>43</v>
      </c>
      <c r="C33" s="12">
        <v>1544.29</v>
      </c>
      <c r="D33" s="24">
        <v>-60204.31</v>
      </c>
      <c r="E33" s="24">
        <v>591140.57</v>
      </c>
      <c r="F33" s="24">
        <v>558715.38</v>
      </c>
      <c r="G33" s="24">
        <f>E33</f>
        <v>591140.57</v>
      </c>
      <c r="H33" s="24">
        <f t="shared" si="0"/>
        <v>-92629.49999999994</v>
      </c>
      <c r="I33" s="24">
        <f t="shared" si="1"/>
        <v>-32425.189999999944</v>
      </c>
    </row>
    <row r="34" spans="1:11" s="16" customFormat="1" ht="15" customHeight="1">
      <c r="A34" s="509" t="s">
        <v>94</v>
      </c>
      <c r="B34" s="510"/>
      <c r="C34" s="511"/>
      <c r="D34" s="15">
        <f aca="true" t="shared" si="4" ref="D34:K34">D18+D23+D24+D25+D29</f>
        <v>-133463.6</v>
      </c>
      <c r="E34" s="15">
        <f t="shared" si="4"/>
        <v>1391980.0699999998</v>
      </c>
      <c r="F34" s="15">
        <f t="shared" si="4"/>
        <v>1320742.33</v>
      </c>
      <c r="G34" s="15">
        <f t="shared" si="4"/>
        <v>1377729.9700000002</v>
      </c>
      <c r="H34" s="15">
        <f t="shared" si="4"/>
        <v>-190451.24</v>
      </c>
      <c r="I34" s="15">
        <f t="shared" si="4"/>
        <v>-71237.73999999996</v>
      </c>
      <c r="J34" s="15">
        <f t="shared" si="4"/>
        <v>6.75</v>
      </c>
      <c r="K34" s="15">
        <f t="shared" si="4"/>
        <v>0</v>
      </c>
    </row>
    <row r="35" spans="1:11" s="16" customFormat="1" ht="11.25" customHeight="1">
      <c r="A35" s="17"/>
      <c r="B35" s="17"/>
      <c r="C35" s="17"/>
      <c r="D35" s="18"/>
      <c r="E35" s="18"/>
      <c r="F35" s="18"/>
      <c r="G35" s="18"/>
      <c r="H35" s="18"/>
      <c r="I35" s="18"/>
      <c r="J35" s="18"/>
      <c r="K35" s="18"/>
    </row>
    <row r="36" spans="1:9" ht="23.25" customHeight="1">
      <c r="A36" s="512" t="s">
        <v>44</v>
      </c>
      <c r="B36" s="512"/>
      <c r="C36" s="512"/>
      <c r="D36" s="512"/>
      <c r="E36" s="512"/>
      <c r="F36" s="512"/>
      <c r="G36" s="512"/>
      <c r="H36" s="512"/>
      <c r="I36" s="512"/>
    </row>
    <row r="38" spans="1:7" s="14" customFormat="1" ht="28.5" customHeight="1">
      <c r="A38" s="5" t="s">
        <v>11</v>
      </c>
      <c r="B38" s="513" t="s">
        <v>45</v>
      </c>
      <c r="C38" s="514"/>
      <c r="D38" s="514"/>
      <c r="E38" s="515"/>
      <c r="F38" s="513" t="s">
        <v>46</v>
      </c>
      <c r="G38" s="507"/>
    </row>
    <row r="39" spans="1:7" s="16" customFormat="1" ht="13.5">
      <c r="A39" s="29" t="s">
        <v>47</v>
      </c>
      <c r="B39" s="503" t="s">
        <v>48</v>
      </c>
      <c r="C39" s="504"/>
      <c r="D39" s="504"/>
      <c r="E39" s="505"/>
      <c r="F39" s="506">
        <f>SUM(F40:G43)</f>
        <v>24581.67</v>
      </c>
      <c r="G39" s="507"/>
    </row>
    <row r="40" spans="1:7" ht="15.75" customHeight="1">
      <c r="A40" s="24" t="s">
        <v>16</v>
      </c>
      <c r="B40" s="499" t="s">
        <v>98</v>
      </c>
      <c r="C40" s="500"/>
      <c r="D40" s="500"/>
      <c r="E40" s="501"/>
      <c r="F40" s="502">
        <v>1007.78</v>
      </c>
      <c r="G40" s="502"/>
    </row>
    <row r="41" spans="1:7" ht="15.75" customHeight="1">
      <c r="A41" s="24" t="s">
        <v>18</v>
      </c>
      <c r="B41" s="499" t="s">
        <v>97</v>
      </c>
      <c r="C41" s="500"/>
      <c r="D41" s="500"/>
      <c r="E41" s="501"/>
      <c r="F41" s="502">
        <v>10480.41</v>
      </c>
      <c r="G41" s="502"/>
    </row>
    <row r="42" spans="1:7" ht="15.75" customHeight="1">
      <c r="A42" s="24" t="s">
        <v>20</v>
      </c>
      <c r="B42" s="499" t="s">
        <v>99</v>
      </c>
      <c r="C42" s="500"/>
      <c r="D42" s="500"/>
      <c r="E42" s="501"/>
      <c r="F42" s="502">
        <v>3847.63</v>
      </c>
      <c r="G42" s="502"/>
    </row>
    <row r="43" spans="1:7" ht="15.75" customHeight="1">
      <c r="A43" s="24" t="s">
        <v>22</v>
      </c>
      <c r="B43" s="499" t="s">
        <v>100</v>
      </c>
      <c r="C43" s="500"/>
      <c r="D43" s="500"/>
      <c r="E43" s="501"/>
      <c r="F43" s="502">
        <v>9245.85</v>
      </c>
      <c r="G43" s="502"/>
    </row>
    <row r="44" spans="2:5" ht="12.75">
      <c r="B44" s="9"/>
      <c r="C44" s="9"/>
      <c r="D44" s="9"/>
      <c r="E44" s="9"/>
    </row>
    <row r="45" s="21" customFormat="1" ht="12.75"/>
    <row r="46" spans="1:8" s="21" customFormat="1" ht="12.75">
      <c r="A46" s="21" t="s">
        <v>55</v>
      </c>
      <c r="F46" s="21" t="s">
        <v>49</v>
      </c>
      <c r="H46" s="21" t="s">
        <v>90</v>
      </c>
    </row>
    <row r="47" s="21" customFormat="1" ht="12.75"/>
    <row r="48" s="21" customFormat="1" ht="12.75">
      <c r="F48" s="22" t="s">
        <v>96</v>
      </c>
    </row>
    <row r="49" s="21" customFormat="1" ht="12.75"/>
    <row r="50" s="21" customFormat="1" ht="12.75">
      <c r="A50" s="21" t="s">
        <v>50</v>
      </c>
    </row>
    <row r="51" spans="4:8" s="21" customFormat="1" ht="12.75">
      <c r="D51" s="30" t="s">
        <v>51</v>
      </c>
      <c r="F51" s="30"/>
      <c r="G51" s="30"/>
      <c r="H51" s="30"/>
    </row>
    <row r="52" s="21" customFormat="1" ht="12.75"/>
    <row r="53" s="21" customFormat="1" ht="12.75"/>
  </sheetData>
  <sheetProtection/>
  <mergeCells count="22">
    <mergeCell ref="A14:I14"/>
    <mergeCell ref="A1:I1"/>
    <mergeCell ref="A2:I2"/>
    <mergeCell ref="A3:I3"/>
    <mergeCell ref="A5:I5"/>
    <mergeCell ref="A13:I13"/>
    <mergeCell ref="B39:E39"/>
    <mergeCell ref="F39:G39"/>
    <mergeCell ref="A15:I15"/>
    <mergeCell ref="A34:C34"/>
    <mergeCell ref="A36:I36"/>
    <mergeCell ref="B38:E38"/>
    <mergeCell ref="F38:G38"/>
    <mergeCell ref="A27:B27"/>
    <mergeCell ref="B40:E40"/>
    <mergeCell ref="F40:G40"/>
    <mergeCell ref="B41:E41"/>
    <mergeCell ref="F41:G41"/>
    <mergeCell ref="B43:E43"/>
    <mergeCell ref="F43:G43"/>
    <mergeCell ref="B42:E42"/>
    <mergeCell ref="F42:G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3">
      <selection activeCell="O40" sqref="O40"/>
    </sheetView>
  </sheetViews>
  <sheetFormatPr defaultColWidth="9.140625" defaultRowHeight="15" outlineLevelCol="1"/>
  <cols>
    <col min="1" max="1" width="3.8515625" style="19" customWidth="1"/>
    <col min="2" max="2" width="29.28125" style="19" customWidth="1"/>
    <col min="3" max="3" width="11.421875" style="19" customWidth="1"/>
    <col min="4" max="4" width="13.28125" style="19" customWidth="1"/>
    <col min="5" max="5" width="14.57421875" style="19" customWidth="1"/>
    <col min="6" max="6" width="13.421875" style="19" customWidth="1"/>
    <col min="7" max="7" width="14.00390625" style="19" customWidth="1"/>
    <col min="8" max="8" width="10.140625" style="19" hidden="1" customWidth="1" outlineLevel="1"/>
    <col min="9" max="9" width="10.421875" style="19" hidden="1" customWidth="1" outlineLevel="1"/>
    <col min="10" max="11" width="9.140625" style="19" hidden="1" customWidth="1" outlineLevel="1"/>
    <col min="12" max="12" width="9.140625" style="19" customWidth="1" collapsed="1"/>
    <col min="13" max="16384" width="9.140625" style="19" customWidth="1"/>
  </cols>
  <sheetData>
    <row r="1" spans="1:9" ht="12.75">
      <c r="A1" s="518" t="s">
        <v>0</v>
      </c>
      <c r="B1" s="518"/>
      <c r="C1" s="518"/>
      <c r="D1" s="518"/>
      <c r="E1" s="518"/>
      <c r="F1" s="518"/>
      <c r="G1" s="518"/>
      <c r="H1" s="518"/>
      <c r="I1" s="518"/>
    </row>
    <row r="2" spans="1:9" ht="12.75">
      <c r="A2" s="518" t="s">
        <v>52</v>
      </c>
      <c r="B2" s="518"/>
      <c r="C2" s="518"/>
      <c r="D2" s="518"/>
      <c r="E2" s="518"/>
      <c r="F2" s="518"/>
      <c r="G2" s="518"/>
      <c r="H2" s="518"/>
      <c r="I2" s="518"/>
    </row>
    <row r="3" spans="1:9" ht="12.75">
      <c r="A3" s="518" t="s">
        <v>95</v>
      </c>
      <c r="B3" s="518"/>
      <c r="C3" s="518"/>
      <c r="D3" s="518"/>
      <c r="E3" s="518"/>
      <c r="F3" s="518"/>
      <c r="G3" s="518"/>
      <c r="H3" s="518"/>
      <c r="I3" s="518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512" t="s">
        <v>1</v>
      </c>
      <c r="B5" s="518"/>
      <c r="C5" s="518"/>
      <c r="D5" s="518"/>
      <c r="E5" s="518"/>
      <c r="F5" s="518"/>
      <c r="G5" s="518"/>
      <c r="H5" s="518"/>
      <c r="I5" s="518"/>
    </row>
    <row r="7" spans="1:6" s="21" customFormat="1" ht="12.75">
      <c r="A7" s="21" t="s">
        <v>2</v>
      </c>
      <c r="F7" s="22" t="s">
        <v>53</v>
      </c>
    </row>
    <row r="8" spans="1:6" s="21" customFormat="1" ht="12.75">
      <c r="A8" s="21" t="s">
        <v>3</v>
      </c>
      <c r="F8" s="22" t="s">
        <v>54</v>
      </c>
    </row>
    <row r="9" s="21" customFormat="1" ht="12.75">
      <c r="A9" s="21" t="s">
        <v>4</v>
      </c>
    </row>
    <row r="10" spans="1:6" s="21" customFormat="1" ht="12.75">
      <c r="A10" s="21" t="s">
        <v>5</v>
      </c>
      <c r="F10" s="22" t="s">
        <v>6</v>
      </c>
    </row>
    <row r="11" spans="1:6" s="21" customFormat="1" ht="12.75">
      <c r="A11" s="21" t="s">
        <v>7</v>
      </c>
      <c r="F11" s="22" t="s">
        <v>6</v>
      </c>
    </row>
    <row r="12" s="21" customFormat="1" ht="12.75"/>
    <row r="13" spans="1:9" s="21" customFormat="1" ht="12.75">
      <c r="A13" s="508" t="s">
        <v>8</v>
      </c>
      <c r="B13" s="508"/>
      <c r="C13" s="508"/>
      <c r="D13" s="508"/>
      <c r="E13" s="508"/>
      <c r="F13" s="508"/>
      <c r="G13" s="508"/>
      <c r="H13" s="508"/>
      <c r="I13" s="508"/>
    </row>
    <row r="14" spans="1:9" s="21" customFormat="1" ht="12.75">
      <c r="A14" s="508" t="s">
        <v>9</v>
      </c>
      <c r="B14" s="508"/>
      <c r="C14" s="508"/>
      <c r="D14" s="508"/>
      <c r="E14" s="508"/>
      <c r="F14" s="508"/>
      <c r="G14" s="508"/>
      <c r="H14" s="508"/>
      <c r="I14" s="508"/>
    </row>
    <row r="15" spans="1:9" s="21" customFormat="1" ht="12.75">
      <c r="A15" s="508" t="s">
        <v>10</v>
      </c>
      <c r="B15" s="508"/>
      <c r="C15" s="508"/>
      <c r="D15" s="508"/>
      <c r="E15" s="508"/>
      <c r="F15" s="508"/>
      <c r="G15" s="508"/>
      <c r="H15" s="508"/>
      <c r="I15" s="508"/>
    </row>
    <row r="16" s="21" customFormat="1" ht="12.75"/>
    <row r="17" spans="1:7" s="14" customFormat="1" ht="51">
      <c r="A17" s="5" t="s">
        <v>11</v>
      </c>
      <c r="B17" s="5" t="s">
        <v>12</v>
      </c>
      <c r="C17" s="5" t="s">
        <v>91</v>
      </c>
      <c r="D17" s="5" t="s">
        <v>86</v>
      </c>
      <c r="E17" s="5" t="s">
        <v>87</v>
      </c>
      <c r="F17" s="13" t="s">
        <v>88</v>
      </c>
      <c r="G17" s="5" t="s">
        <v>101</v>
      </c>
    </row>
    <row r="18" spans="1:9" s="21" customFormat="1" ht="25.5">
      <c r="A18" s="23" t="s">
        <v>14</v>
      </c>
      <c r="B18" s="24" t="s">
        <v>15</v>
      </c>
      <c r="C18" s="25">
        <v>6.75</v>
      </c>
      <c r="D18" s="23">
        <v>174103.45</v>
      </c>
      <c r="E18" s="26">
        <v>169317.59</v>
      </c>
      <c r="F18" s="26">
        <f>D18</f>
        <v>174103.45</v>
      </c>
      <c r="G18" s="27">
        <f aca="true" t="shared" si="0" ref="G18:G27">E18-D18</f>
        <v>-4785.860000000015</v>
      </c>
      <c r="H18" s="28">
        <v>6.75</v>
      </c>
      <c r="I18" s="28"/>
    </row>
    <row r="19" spans="1:9" s="21" customFormat="1" ht="25.5">
      <c r="A19" s="23" t="s">
        <v>16</v>
      </c>
      <c r="B19" s="24" t="s">
        <v>17</v>
      </c>
      <c r="C19" s="25">
        <v>2.41</v>
      </c>
      <c r="D19" s="26">
        <f>D18*I19</f>
        <v>62161.37992592593</v>
      </c>
      <c r="E19" s="26">
        <f>E18*I19</f>
        <v>60452.65065185185</v>
      </c>
      <c r="F19" s="26">
        <f>D19</f>
        <v>62161.37992592593</v>
      </c>
      <c r="G19" s="27">
        <f t="shared" si="0"/>
        <v>-1708.7292740740813</v>
      </c>
      <c r="H19" s="28">
        <v>2.41</v>
      </c>
      <c r="I19" s="28">
        <f>H19/H18</f>
        <v>0.35703703703703704</v>
      </c>
    </row>
    <row r="20" spans="1:9" s="21" customFormat="1" ht="25.5">
      <c r="A20" s="23" t="s">
        <v>18</v>
      </c>
      <c r="B20" s="24" t="s">
        <v>19</v>
      </c>
      <c r="C20" s="25">
        <v>1.2</v>
      </c>
      <c r="D20" s="26">
        <f>D18*I20</f>
        <v>30951.724444444448</v>
      </c>
      <c r="E20" s="26">
        <f>E18*I20</f>
        <v>30100.90488888889</v>
      </c>
      <c r="F20" s="26">
        <f>D20</f>
        <v>30951.724444444448</v>
      </c>
      <c r="G20" s="27">
        <f t="shared" si="0"/>
        <v>-850.8195555555576</v>
      </c>
      <c r="H20" s="28">
        <v>1.2</v>
      </c>
      <c r="I20" s="28">
        <f>H20/H18</f>
        <v>0.17777777777777778</v>
      </c>
    </row>
    <row r="21" spans="1:9" s="21" customFormat="1" ht="12.75">
      <c r="A21" s="23" t="s">
        <v>20</v>
      </c>
      <c r="B21" s="24" t="s">
        <v>21</v>
      </c>
      <c r="C21" s="25">
        <v>1.51</v>
      </c>
      <c r="D21" s="26">
        <f>D18*I21</f>
        <v>38947.5865925926</v>
      </c>
      <c r="E21" s="26">
        <f>E18*I21</f>
        <v>37876.971985185184</v>
      </c>
      <c r="F21" s="26">
        <f>D21</f>
        <v>38947.5865925926</v>
      </c>
      <c r="G21" s="27">
        <f t="shared" si="0"/>
        <v>-1070.6146074074131</v>
      </c>
      <c r="H21" s="28">
        <v>1.51</v>
      </c>
      <c r="I21" s="28">
        <f>H21/H18</f>
        <v>0.2237037037037037</v>
      </c>
    </row>
    <row r="22" spans="1:9" s="21" customFormat="1" ht="25.5">
      <c r="A22" s="23" t="s">
        <v>22</v>
      </c>
      <c r="B22" s="24" t="s">
        <v>23</v>
      </c>
      <c r="C22" s="25">
        <v>1.63</v>
      </c>
      <c r="D22" s="26">
        <f>D18*I22</f>
        <v>42042.75903703704</v>
      </c>
      <c r="E22" s="26">
        <f>E18*I22</f>
        <v>40887.06247407407</v>
      </c>
      <c r="F22" s="26">
        <f>D22</f>
        <v>42042.75903703704</v>
      </c>
      <c r="G22" s="27">
        <f t="shared" si="0"/>
        <v>-1155.6965629629703</v>
      </c>
      <c r="H22" s="28">
        <v>1.63</v>
      </c>
      <c r="I22" s="28">
        <f>H22/H18</f>
        <v>0.24148148148148146</v>
      </c>
    </row>
    <row r="23" spans="1:7" ht="12.75">
      <c r="A23" s="24" t="s">
        <v>25</v>
      </c>
      <c r="B23" s="24" t="s">
        <v>26</v>
      </c>
      <c r="C23" s="25">
        <v>3.15</v>
      </c>
      <c r="D23" s="24">
        <v>0</v>
      </c>
      <c r="E23" s="27">
        <v>0</v>
      </c>
      <c r="F23" s="27">
        <v>0</v>
      </c>
      <c r="G23" s="27">
        <f t="shared" si="0"/>
        <v>0</v>
      </c>
    </row>
    <row r="24" spans="1:7" ht="12.75">
      <c r="A24" s="24" t="s">
        <v>27</v>
      </c>
      <c r="B24" s="24" t="s">
        <v>28</v>
      </c>
      <c r="C24" s="12">
        <v>2.6</v>
      </c>
      <c r="D24" s="24">
        <v>59389.92</v>
      </c>
      <c r="E24" s="27">
        <v>57568.62</v>
      </c>
      <c r="F24" s="27">
        <f>D24</f>
        <v>59389.92</v>
      </c>
      <c r="G24" s="27">
        <f t="shared" si="0"/>
        <v>-1821.2999999999956</v>
      </c>
    </row>
    <row r="25" spans="1:7" ht="12.75">
      <c r="A25" s="24" t="s">
        <v>29</v>
      </c>
      <c r="B25" s="24" t="s">
        <v>30</v>
      </c>
      <c r="C25" s="25">
        <v>0.81</v>
      </c>
      <c r="D25" s="24">
        <v>0</v>
      </c>
      <c r="E25" s="24">
        <v>0</v>
      </c>
      <c r="F25" s="24">
        <v>0</v>
      </c>
      <c r="G25" s="24">
        <f t="shared" si="0"/>
        <v>0</v>
      </c>
    </row>
    <row r="26" spans="1:7" ht="25.5">
      <c r="A26" s="24" t="s">
        <v>31</v>
      </c>
      <c r="B26" s="24" t="s">
        <v>32</v>
      </c>
      <c r="C26" s="25">
        <v>1.61</v>
      </c>
      <c r="D26" s="24">
        <v>65703.01</v>
      </c>
      <c r="E26" s="24">
        <v>65330.4</v>
      </c>
      <c r="F26" s="24">
        <v>24581.67</v>
      </c>
      <c r="G26" s="24">
        <f t="shared" si="0"/>
        <v>-372.6099999999933</v>
      </c>
    </row>
    <row r="27" spans="1:7" ht="25.5">
      <c r="A27" s="24" t="s">
        <v>33</v>
      </c>
      <c r="B27" s="24" t="s">
        <v>34</v>
      </c>
      <c r="C27" s="25">
        <v>0</v>
      </c>
      <c r="D27" s="24">
        <v>0</v>
      </c>
      <c r="E27" s="24">
        <v>42.57</v>
      </c>
      <c r="F27" s="24">
        <v>0</v>
      </c>
      <c r="G27" s="24">
        <f t="shared" si="0"/>
        <v>42.57</v>
      </c>
    </row>
    <row r="28" spans="1:7" ht="25.5">
      <c r="A28" s="24" t="s">
        <v>35</v>
      </c>
      <c r="B28" s="24" t="s">
        <v>36</v>
      </c>
      <c r="C28" s="25">
        <f>SUM(C29:C32)</f>
        <v>1680.9299999999998</v>
      </c>
      <c r="D28" s="24">
        <f>SUM(D29:D32)</f>
        <v>1158486.7</v>
      </c>
      <c r="E28" s="24">
        <f>SUM(E29:E32)</f>
        <v>1093856.12</v>
      </c>
      <c r="F28" s="24">
        <f>SUM(F29:F32)</f>
        <v>1144236.6</v>
      </c>
      <c r="G28" s="24">
        <f>SUM(G29:G32)</f>
        <v>-64630.57999999995</v>
      </c>
    </row>
    <row r="29" spans="1:7" ht="12.75">
      <c r="A29" s="24" t="s">
        <v>37</v>
      </c>
      <c r="B29" s="24" t="s">
        <v>93</v>
      </c>
      <c r="C29" s="12">
        <v>3.13</v>
      </c>
      <c r="D29" s="24">
        <v>14250.1</v>
      </c>
      <c r="E29" s="24">
        <v>16846.06</v>
      </c>
      <c r="F29" s="24"/>
      <c r="G29" s="24">
        <f>E29-D29</f>
        <v>2595.960000000001</v>
      </c>
    </row>
    <row r="30" spans="1:7" ht="12.75">
      <c r="A30" s="24" t="s">
        <v>39</v>
      </c>
      <c r="B30" s="24" t="s">
        <v>38</v>
      </c>
      <c r="C30" s="12">
        <v>18.21</v>
      </c>
      <c r="D30" s="24">
        <v>202200.89</v>
      </c>
      <c r="E30" s="24">
        <v>195379.97</v>
      </c>
      <c r="F30" s="24">
        <f>D30</f>
        <v>202200.89</v>
      </c>
      <c r="G30" s="24">
        <f>E30-D30</f>
        <v>-6820.920000000013</v>
      </c>
    </row>
    <row r="31" spans="1:7" ht="12.75">
      <c r="A31" s="24" t="s">
        <v>42</v>
      </c>
      <c r="B31" s="24" t="s">
        <v>40</v>
      </c>
      <c r="C31" s="12">
        <v>115.3</v>
      </c>
      <c r="D31" s="24">
        <v>350895.14</v>
      </c>
      <c r="E31" s="24">
        <v>322914.71</v>
      </c>
      <c r="F31" s="24">
        <f>D31</f>
        <v>350895.14</v>
      </c>
      <c r="G31" s="24">
        <f>E31-D31</f>
        <v>-27980.429999999993</v>
      </c>
    </row>
    <row r="32" spans="1:7" ht="12.75">
      <c r="A32" s="24" t="s">
        <v>41</v>
      </c>
      <c r="B32" s="24" t="s">
        <v>43</v>
      </c>
      <c r="C32" s="12">
        <v>1544.29</v>
      </c>
      <c r="D32" s="24">
        <v>591140.57</v>
      </c>
      <c r="E32" s="24">
        <v>558715.38</v>
      </c>
      <c r="F32" s="24">
        <f>D32</f>
        <v>591140.57</v>
      </c>
      <c r="G32" s="24">
        <f>E32-D32</f>
        <v>-32425.189999999944</v>
      </c>
    </row>
    <row r="33" spans="1:9" s="16" customFormat="1" ht="15" customHeight="1">
      <c r="A33" s="509" t="s">
        <v>94</v>
      </c>
      <c r="B33" s="510"/>
      <c r="C33" s="511"/>
      <c r="D33" s="15">
        <f aca="true" t="shared" si="1" ref="D33:I33">D18+D23+D24+D25+D28</f>
        <v>1391980.0699999998</v>
      </c>
      <c r="E33" s="15">
        <f t="shared" si="1"/>
        <v>1320742.33</v>
      </c>
      <c r="F33" s="15">
        <f t="shared" si="1"/>
        <v>1377729.9700000002</v>
      </c>
      <c r="G33" s="15">
        <f t="shared" si="1"/>
        <v>-71237.73999999996</v>
      </c>
      <c r="H33" s="15">
        <f t="shared" si="1"/>
        <v>6.75</v>
      </c>
      <c r="I33" s="15">
        <f t="shared" si="1"/>
        <v>0</v>
      </c>
    </row>
    <row r="34" spans="1:11" s="16" customFormat="1" ht="9.75" customHeight="1">
      <c r="A34" s="17"/>
      <c r="B34" s="17"/>
      <c r="C34" s="17"/>
      <c r="D34" s="18"/>
      <c r="E34" s="18"/>
      <c r="F34" s="18"/>
      <c r="G34" s="18"/>
      <c r="H34" s="18"/>
      <c r="I34" s="18"/>
      <c r="J34" s="18"/>
      <c r="K34" s="18"/>
    </row>
    <row r="35" spans="1:9" ht="23.25" customHeight="1">
      <c r="A35" s="512" t="s">
        <v>44</v>
      </c>
      <c r="B35" s="512"/>
      <c r="C35" s="512"/>
      <c r="D35" s="512"/>
      <c r="E35" s="512"/>
      <c r="F35" s="512"/>
      <c r="G35" s="512"/>
      <c r="H35" s="512"/>
      <c r="I35" s="512"/>
    </row>
    <row r="37" spans="1:7" s="14" customFormat="1" ht="28.5" customHeight="1">
      <c r="A37" s="5" t="s">
        <v>11</v>
      </c>
      <c r="B37" s="513" t="s">
        <v>45</v>
      </c>
      <c r="C37" s="514"/>
      <c r="D37" s="514"/>
      <c r="E37" s="515"/>
      <c r="F37" s="513" t="s">
        <v>46</v>
      </c>
      <c r="G37" s="507"/>
    </row>
    <row r="38" spans="1:7" s="16" customFormat="1" ht="13.5">
      <c r="A38" s="29" t="s">
        <v>47</v>
      </c>
      <c r="B38" s="503" t="s">
        <v>48</v>
      </c>
      <c r="C38" s="504"/>
      <c r="D38" s="504"/>
      <c r="E38" s="505"/>
      <c r="F38" s="506">
        <f>SUM(F39:G42)</f>
        <v>24581.67</v>
      </c>
      <c r="G38" s="507"/>
    </row>
    <row r="39" spans="1:7" ht="15.75" customHeight="1">
      <c r="A39" s="24" t="s">
        <v>16</v>
      </c>
      <c r="B39" s="499" t="s">
        <v>98</v>
      </c>
      <c r="C39" s="500"/>
      <c r="D39" s="500"/>
      <c r="E39" s="501"/>
      <c r="F39" s="502">
        <v>1007.78</v>
      </c>
      <c r="G39" s="502"/>
    </row>
    <row r="40" spans="1:7" ht="15.75" customHeight="1">
      <c r="A40" s="24" t="s">
        <v>18</v>
      </c>
      <c r="B40" s="499" t="s">
        <v>97</v>
      </c>
      <c r="C40" s="500"/>
      <c r="D40" s="500"/>
      <c r="E40" s="501"/>
      <c r="F40" s="502">
        <v>10480.41</v>
      </c>
      <c r="G40" s="502"/>
    </row>
    <row r="41" spans="1:7" ht="15.75" customHeight="1">
      <c r="A41" s="24" t="s">
        <v>20</v>
      </c>
      <c r="B41" s="499" t="s">
        <v>99</v>
      </c>
      <c r="C41" s="500"/>
      <c r="D41" s="500"/>
      <c r="E41" s="501"/>
      <c r="F41" s="502">
        <v>3847.63</v>
      </c>
      <c r="G41" s="502"/>
    </row>
    <row r="42" spans="1:7" ht="15.75" customHeight="1">
      <c r="A42" s="24" t="s">
        <v>22</v>
      </c>
      <c r="B42" s="499" t="s">
        <v>100</v>
      </c>
      <c r="C42" s="500"/>
      <c r="D42" s="500"/>
      <c r="E42" s="501"/>
      <c r="F42" s="502">
        <v>9245.85</v>
      </c>
      <c r="G42" s="502"/>
    </row>
    <row r="43" spans="2:5" ht="12.75">
      <c r="B43" s="9"/>
      <c r="C43" s="9"/>
      <c r="D43" s="9"/>
      <c r="E43" s="9"/>
    </row>
    <row r="44" spans="1:7" s="21" customFormat="1" ht="12.75">
      <c r="A44" s="21" t="s">
        <v>55</v>
      </c>
      <c r="E44" s="21" t="s">
        <v>49</v>
      </c>
      <c r="G44" s="21" t="s">
        <v>90</v>
      </c>
    </row>
    <row r="45" s="21" customFormat="1" ht="12.75"/>
    <row r="46" s="21" customFormat="1" ht="12.75">
      <c r="E46" s="22" t="s">
        <v>96</v>
      </c>
    </row>
    <row r="47" s="21" customFormat="1" ht="12.75">
      <c r="A47" s="21" t="s">
        <v>50</v>
      </c>
    </row>
    <row r="48" spans="3:8" s="21" customFormat="1" ht="12.75">
      <c r="C48" s="30" t="s">
        <v>51</v>
      </c>
      <c r="F48" s="30"/>
      <c r="G48" s="30"/>
      <c r="H48" s="30"/>
    </row>
    <row r="49" s="21" customFormat="1" ht="12.75"/>
    <row r="50" s="21" customFormat="1" ht="12.75"/>
  </sheetData>
  <sheetProtection/>
  <mergeCells count="21">
    <mergeCell ref="B42:E42"/>
    <mergeCell ref="F42:G42"/>
    <mergeCell ref="B39:E39"/>
    <mergeCell ref="F39:G39"/>
    <mergeCell ref="B40:E40"/>
    <mergeCell ref="B41:E41"/>
    <mergeCell ref="F40:G40"/>
    <mergeCell ref="F41:G41"/>
    <mergeCell ref="F38:G38"/>
    <mergeCell ref="A33:C33"/>
    <mergeCell ref="F37:G37"/>
    <mergeCell ref="A14:I14"/>
    <mergeCell ref="B38:E38"/>
    <mergeCell ref="A15:I15"/>
    <mergeCell ref="A35:I35"/>
    <mergeCell ref="A1:I1"/>
    <mergeCell ref="A2:I2"/>
    <mergeCell ref="A3:I3"/>
    <mergeCell ref="A5:I5"/>
    <mergeCell ref="B37:E37"/>
    <mergeCell ref="A13:I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O63"/>
  <sheetViews>
    <sheetView zoomScalePageLayoutView="0" workbookViewId="0" topLeftCell="A44">
      <selection activeCell="A57" sqref="A57"/>
    </sheetView>
  </sheetViews>
  <sheetFormatPr defaultColWidth="9.140625" defaultRowHeight="15" outlineLevelCol="1"/>
  <cols>
    <col min="1" max="1" width="5.8515625" style="35" customWidth="1"/>
    <col min="2" max="2" width="48.140625" style="35" customWidth="1"/>
    <col min="3" max="3" width="14.57421875" style="35" customWidth="1"/>
    <col min="4" max="5" width="13.140625" style="35" customWidth="1"/>
    <col min="6" max="6" width="13.0039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1.28125" style="35" bestFit="1" customWidth="1" collapsed="1"/>
    <col min="14" max="14" width="11.421875" style="35" bestFit="1" customWidth="1"/>
    <col min="15" max="15" width="12.00390625" style="35" bestFit="1" customWidth="1"/>
    <col min="16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.7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7.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2.25" customHeight="1"/>
    <row r="7" spans="1:6" s="67" customFormat="1" ht="16.5" customHeight="1">
      <c r="A7" s="67" t="s">
        <v>2</v>
      </c>
      <c r="F7" s="127" t="s">
        <v>105</v>
      </c>
    </row>
    <row r="8" spans="1:11" s="67" customFormat="1" ht="15">
      <c r="A8" s="67" t="s">
        <v>3</v>
      </c>
      <c r="F8" s="295" t="s">
        <v>464</v>
      </c>
      <c r="I8" s="202">
        <f>62.3+64+50.3+442</f>
        <v>618.6</v>
      </c>
      <c r="J8" s="202">
        <v>3633.7</v>
      </c>
      <c r="K8" s="202">
        <f>I8+J8</f>
        <v>4252.3</v>
      </c>
    </row>
    <row r="9" s="67" customFormat="1" ht="3.75" customHeight="1"/>
    <row r="10" spans="1:9" s="67" customFormat="1" ht="12.75" customHeight="1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2.75" customHeight="1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2.75" customHeight="1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'[1]Ленина 68,8'!$G$38</f>
        <v>-3318.67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'[1]Ленина 68,8'!$G$39</f>
        <v>-84435.81790000002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15" s="168" customFormat="1" ht="14.25">
      <c r="A18" s="75" t="s">
        <v>14</v>
      </c>
      <c r="B18" s="41" t="s">
        <v>15</v>
      </c>
      <c r="C18" s="136">
        <f>C19+C20+C21+C22</f>
        <v>10.34</v>
      </c>
      <c r="D18" s="76">
        <v>487586.43</v>
      </c>
      <c r="E18" s="76">
        <v>506491.37</v>
      </c>
      <c r="F18" s="76">
        <f aca="true" t="shared" si="0" ref="F18:F25">D18</f>
        <v>487586.43</v>
      </c>
      <c r="G18" s="77">
        <f>D18-E18</f>
        <v>-18904.940000000002</v>
      </c>
      <c r="H18" s="78">
        <f>C18</f>
        <v>10.34</v>
      </c>
      <c r="N18" s="167"/>
      <c r="O18" s="167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163157.54814313346</v>
      </c>
      <c r="E19" s="83">
        <f>E18*I19</f>
        <v>169483.5725531915</v>
      </c>
      <c r="F19" s="83">
        <f t="shared" si="0"/>
        <v>163157.54814313346</v>
      </c>
      <c r="G19" s="84">
        <f>D19-E19</f>
        <v>-6326.024410058046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79692.55964216634</v>
      </c>
      <c r="E20" s="83">
        <f>E18*I20</f>
        <v>82782.43861702127</v>
      </c>
      <c r="F20" s="83">
        <f t="shared" si="0"/>
        <v>79692.55964216634</v>
      </c>
      <c r="G20" s="84">
        <f>D20-E20</f>
        <v>-3089.8789748549316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101384.0255802708</v>
      </c>
      <c r="E21" s="83">
        <f>E18*I21</f>
        <v>105314.93670212766</v>
      </c>
      <c r="F21" s="83">
        <f t="shared" si="0"/>
        <v>101384.0255802708</v>
      </c>
      <c r="G21" s="84">
        <f>D21-E21</f>
        <v>-3930.911121856858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143352.2966344294</v>
      </c>
      <c r="E22" s="83">
        <f>E18*I22</f>
        <v>148910.42212765958</v>
      </c>
      <c r="F22" s="83">
        <f t="shared" si="0"/>
        <v>143352.2966344294</v>
      </c>
      <c r="G22" s="84">
        <f>D22-E22</f>
        <v>-5558.125493230182</v>
      </c>
      <c r="H22" s="78">
        <f>C22</f>
        <v>3.04</v>
      </c>
      <c r="I22" s="67">
        <f>H22/H18</f>
        <v>0.2940038684719536</v>
      </c>
    </row>
    <row r="23" spans="1:7" s="39" customFormat="1" ht="14.25">
      <c r="A23" s="41" t="s">
        <v>25</v>
      </c>
      <c r="B23" s="41" t="s">
        <v>26</v>
      </c>
      <c r="C23" s="142">
        <v>3.86</v>
      </c>
      <c r="D23" s="77">
        <v>176493.68</v>
      </c>
      <c r="E23" s="77">
        <v>189276.1</v>
      </c>
      <c r="F23" s="76">
        <f t="shared" si="0"/>
        <v>176493.68</v>
      </c>
      <c r="G23" s="77">
        <f aca="true" t="shared" si="1" ref="G23:G34">D23-E23</f>
        <v>-12782.420000000013</v>
      </c>
    </row>
    <row r="24" spans="1:7" s="39" customFormat="1" ht="14.25">
      <c r="A24" s="41" t="s">
        <v>27</v>
      </c>
      <c r="B24" s="41" t="s">
        <v>28</v>
      </c>
      <c r="C24" s="142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s="39" customFormat="1" ht="14.25">
      <c r="A25" s="41" t="s">
        <v>29</v>
      </c>
      <c r="B25" s="41" t="s">
        <v>30</v>
      </c>
      <c r="C25" s="142">
        <v>1.12</v>
      </c>
      <c r="D25" s="77">
        <v>51212.48</v>
      </c>
      <c r="E25" s="77">
        <v>54929.24</v>
      </c>
      <c r="F25" s="77">
        <f t="shared" si="0"/>
        <v>51212.48</v>
      </c>
      <c r="G25" s="77">
        <f t="shared" si="1"/>
        <v>-3716.7599999999948</v>
      </c>
    </row>
    <row r="26" spans="1:13" s="39" customFormat="1" ht="14.25">
      <c r="A26" s="41" t="s">
        <v>31</v>
      </c>
      <c r="B26" s="41" t="s">
        <v>284</v>
      </c>
      <c r="C26" s="142">
        <v>2.06</v>
      </c>
      <c r="D26" s="77">
        <v>94191.12</v>
      </c>
      <c r="E26" s="77">
        <v>101019.12</v>
      </c>
      <c r="F26" s="87">
        <f>F45</f>
        <v>99862.1912</v>
      </c>
      <c r="G26" s="77">
        <f t="shared" si="1"/>
        <v>-6828</v>
      </c>
      <c r="M26" s="182"/>
    </row>
    <row r="27" spans="1:13" s="39" customFormat="1" ht="14.25">
      <c r="A27" s="214" t="s">
        <v>199</v>
      </c>
      <c r="B27" s="86" t="s">
        <v>163</v>
      </c>
      <c r="C27" s="136" t="s">
        <v>334</v>
      </c>
      <c r="D27" s="77"/>
      <c r="E27" s="77"/>
      <c r="F27" s="87">
        <f>D27</f>
        <v>0</v>
      </c>
      <c r="G27" s="77">
        <f t="shared" si="1"/>
        <v>0</v>
      </c>
      <c r="M27" s="182"/>
    </row>
    <row r="28" spans="1:7" s="39" customFormat="1" ht="14.25">
      <c r="A28" s="41" t="s">
        <v>35</v>
      </c>
      <c r="B28" s="86" t="s">
        <v>283</v>
      </c>
      <c r="C28" s="203"/>
      <c r="D28" s="77"/>
      <c r="E28" s="77">
        <v>230.39</v>
      </c>
      <c r="F28" s="90">
        <v>0</v>
      </c>
      <c r="G28" s="77">
        <f t="shared" si="1"/>
        <v>-230.39</v>
      </c>
    </row>
    <row r="29" spans="1:7" s="39" customFormat="1" ht="14.25">
      <c r="A29" s="214" t="s">
        <v>204</v>
      </c>
      <c r="B29" s="41" t="s">
        <v>36</v>
      </c>
      <c r="C29" s="136"/>
      <c r="D29" s="77">
        <f>SUM(D30:D34)</f>
        <v>1757804.4300000002</v>
      </c>
      <c r="E29" s="77">
        <f>SUM(E30:E34)</f>
        <v>1725282.7999999998</v>
      </c>
      <c r="F29" s="77">
        <f>SUM(F30:F34)</f>
        <v>1757804.4300000002</v>
      </c>
      <c r="G29" s="77">
        <f t="shared" si="1"/>
        <v>32521.630000000354</v>
      </c>
    </row>
    <row r="30" spans="1:7" ht="15">
      <c r="A30" s="215" t="s">
        <v>206</v>
      </c>
      <c r="B30" s="34" t="s">
        <v>93</v>
      </c>
      <c r="C30" s="289" t="s">
        <v>406</v>
      </c>
      <c r="D30" s="84">
        <v>16581.7</v>
      </c>
      <c r="E30" s="84">
        <v>14138.23</v>
      </c>
      <c r="F30" s="84">
        <f>D30</f>
        <v>16581.7</v>
      </c>
      <c r="G30" s="84">
        <f t="shared" si="1"/>
        <v>2443.470000000001</v>
      </c>
    </row>
    <row r="31" spans="1:7" ht="15">
      <c r="A31" s="215" t="s">
        <v>207</v>
      </c>
      <c r="B31" s="34" t="s">
        <v>138</v>
      </c>
      <c r="C31" s="289" t="s">
        <v>409</v>
      </c>
      <c r="D31" s="84">
        <v>287766.27</v>
      </c>
      <c r="E31" s="84">
        <v>289950.47</v>
      </c>
      <c r="F31" s="84">
        <f>D31</f>
        <v>287766.27</v>
      </c>
      <c r="G31" s="84">
        <f t="shared" si="1"/>
        <v>-2184.1999999999534</v>
      </c>
    </row>
    <row r="32" spans="1:7" ht="15">
      <c r="A32" s="215" t="s">
        <v>208</v>
      </c>
      <c r="B32" s="34" t="s">
        <v>421</v>
      </c>
      <c r="C32" s="290" t="s">
        <v>408</v>
      </c>
      <c r="D32" s="84">
        <v>425295.6</v>
      </c>
      <c r="E32" s="84">
        <v>406525.35</v>
      </c>
      <c r="F32" s="84">
        <f>D32</f>
        <v>425295.6</v>
      </c>
      <c r="G32" s="84">
        <f t="shared" si="1"/>
        <v>18770.25</v>
      </c>
    </row>
    <row r="33" spans="1:7" ht="15">
      <c r="A33" s="215" t="s">
        <v>209</v>
      </c>
      <c r="B33" s="34" t="s">
        <v>43</v>
      </c>
      <c r="C33" s="289" t="s">
        <v>407</v>
      </c>
      <c r="D33" s="84">
        <v>1016760.86</v>
      </c>
      <c r="E33" s="84">
        <v>1004033.75</v>
      </c>
      <c r="F33" s="84">
        <f>D33</f>
        <v>1016760.86</v>
      </c>
      <c r="G33" s="84">
        <f>D33-E33</f>
        <v>12727.109999999986</v>
      </c>
    </row>
    <row r="34" spans="1:7" ht="15">
      <c r="A34" s="215" t="s">
        <v>533</v>
      </c>
      <c r="B34" s="347" t="s">
        <v>532</v>
      </c>
      <c r="C34" s="289"/>
      <c r="D34" s="291">
        <f>3000+4800+3600</f>
        <v>11400</v>
      </c>
      <c r="E34" s="291">
        <f>2250+4785+3600</f>
        <v>10635</v>
      </c>
      <c r="F34" s="291">
        <f>D34</f>
        <v>11400</v>
      </c>
      <c r="G34" s="291">
        <f t="shared" si="1"/>
        <v>765</v>
      </c>
    </row>
    <row r="35" spans="1:10" s="102" customFormat="1" ht="3.75" customHeight="1">
      <c r="A35" s="104"/>
      <c r="B35" s="104"/>
      <c r="C35" s="104"/>
      <c r="D35" s="101"/>
      <c r="E35" s="101"/>
      <c r="F35" s="101"/>
      <c r="G35" s="101"/>
      <c r="H35" s="101"/>
      <c r="I35" s="101"/>
      <c r="J35" s="101"/>
    </row>
    <row r="36" spans="1:10" s="102" customFormat="1" ht="16.5" customHeight="1" thickBot="1">
      <c r="A36" s="379" t="s">
        <v>328</v>
      </c>
      <c r="B36" s="380"/>
      <c r="C36" s="380"/>
      <c r="D36" s="381"/>
      <c r="E36" s="381"/>
      <c r="F36" s="381"/>
      <c r="G36" s="101"/>
      <c r="H36" s="101"/>
      <c r="I36" s="101"/>
      <c r="J36" s="101"/>
    </row>
    <row r="37" spans="1:9" s="67" customFormat="1" ht="15.75" thickBot="1">
      <c r="A37" s="391" t="s">
        <v>410</v>
      </c>
      <c r="B37" s="392"/>
      <c r="C37" s="392"/>
      <c r="D37" s="65">
        <v>484256.66</v>
      </c>
      <c r="E37" s="66"/>
      <c r="F37" s="66"/>
      <c r="G37" s="66"/>
      <c r="H37" s="62"/>
      <c r="I37" s="62"/>
    </row>
    <row r="38" spans="1:9" s="67" customFormat="1" ht="4.5" customHeight="1" thickBot="1">
      <c r="A38" s="68"/>
      <c r="B38" s="68"/>
      <c r="C38" s="68"/>
      <c r="D38" s="40"/>
      <c r="E38" s="66"/>
      <c r="F38" s="66"/>
      <c r="G38" s="66"/>
      <c r="H38" s="62"/>
      <c r="I38" s="62"/>
    </row>
    <row r="39" spans="1:9" s="67" customFormat="1" ht="15.75" thickBot="1">
      <c r="A39" s="63" t="s">
        <v>412</v>
      </c>
      <c r="B39" s="64"/>
      <c r="C39" s="64"/>
      <c r="D39" s="69"/>
      <c r="E39" s="70"/>
      <c r="F39" s="70"/>
      <c r="G39" s="145">
        <v>-3318.67</v>
      </c>
      <c r="H39" s="62"/>
      <c r="I39" s="62"/>
    </row>
    <row r="40" spans="1:13" s="67" customFormat="1" ht="15.75" thickBot="1">
      <c r="A40" s="63" t="s">
        <v>413</v>
      </c>
      <c r="B40" s="64"/>
      <c r="C40" s="64"/>
      <c r="D40" s="69"/>
      <c r="E40" s="70"/>
      <c r="F40" s="70"/>
      <c r="G40" s="145">
        <f>G15+E26-F26+E28-F28</f>
        <v>-83048.49910000003</v>
      </c>
      <c r="H40" s="62"/>
      <c r="I40" s="62"/>
      <c r="M40" s="146"/>
    </row>
    <row r="41" spans="1:9" s="67" customFormat="1" ht="15">
      <c r="A41" s="68"/>
      <c r="B41" s="68"/>
      <c r="C41" s="68"/>
      <c r="D41" s="40"/>
      <c r="E41" s="66"/>
      <c r="F41" s="66"/>
      <c r="G41" s="40"/>
      <c r="H41" s="62"/>
      <c r="I41" s="62"/>
    </row>
    <row r="42" spans="1:9" ht="27.75" customHeight="1">
      <c r="A42" s="463" t="s">
        <v>44</v>
      </c>
      <c r="B42" s="463"/>
      <c r="C42" s="463"/>
      <c r="D42" s="463"/>
      <c r="E42" s="463"/>
      <c r="F42" s="463"/>
      <c r="G42" s="463"/>
      <c r="H42" s="463"/>
      <c r="I42" s="463"/>
    </row>
    <row r="43" ht="3" customHeight="1"/>
    <row r="44" spans="1:7" s="172" customFormat="1" ht="28.5" customHeight="1">
      <c r="A44" s="105" t="s">
        <v>11</v>
      </c>
      <c r="B44" s="401" t="s">
        <v>45</v>
      </c>
      <c r="C44" s="420"/>
      <c r="D44" s="105" t="s">
        <v>165</v>
      </c>
      <c r="E44" s="105" t="s">
        <v>164</v>
      </c>
      <c r="F44" s="401" t="s">
        <v>46</v>
      </c>
      <c r="G44" s="420"/>
    </row>
    <row r="45" spans="1:7" s="115" customFormat="1" ht="12.75" customHeight="1">
      <c r="A45" s="109" t="s">
        <v>47</v>
      </c>
      <c r="B45" s="403" t="s">
        <v>111</v>
      </c>
      <c r="C45" s="425"/>
      <c r="D45" s="111"/>
      <c r="E45" s="111"/>
      <c r="F45" s="430">
        <f>SUM(F46:L56)</f>
        <v>99862.1912</v>
      </c>
      <c r="G45" s="419"/>
    </row>
    <row r="46" spans="1:7" ht="12.75" customHeight="1">
      <c r="A46" s="34" t="s">
        <v>16</v>
      </c>
      <c r="B46" s="413" t="s">
        <v>380</v>
      </c>
      <c r="C46" s="423"/>
      <c r="D46" s="349"/>
      <c r="E46" s="349" t="s">
        <v>634</v>
      </c>
      <c r="F46" s="451">
        <v>20983</v>
      </c>
      <c r="G46" s="452"/>
    </row>
    <row r="47" spans="1:7" ht="12.75" customHeight="1">
      <c r="A47" s="34" t="s">
        <v>18</v>
      </c>
      <c r="B47" s="413" t="s">
        <v>640</v>
      </c>
      <c r="C47" s="423"/>
      <c r="D47" s="349"/>
      <c r="E47" s="349"/>
      <c r="F47" s="431">
        <v>1200</v>
      </c>
      <c r="G47" s="431"/>
    </row>
    <row r="48" spans="1:7" ht="12.75" customHeight="1">
      <c r="A48" s="34" t="s">
        <v>20</v>
      </c>
      <c r="B48" s="413" t="s">
        <v>641</v>
      </c>
      <c r="C48" s="423"/>
      <c r="D48" s="349" t="s">
        <v>236</v>
      </c>
      <c r="E48" s="353">
        <v>1</v>
      </c>
      <c r="F48" s="451">
        <v>1000</v>
      </c>
      <c r="G48" s="452"/>
    </row>
    <row r="49" spans="1:7" ht="12.75" customHeight="1">
      <c r="A49" s="34" t="s">
        <v>22</v>
      </c>
      <c r="B49" s="413" t="s">
        <v>162</v>
      </c>
      <c r="C49" s="423"/>
      <c r="D49" s="349" t="s">
        <v>169</v>
      </c>
      <c r="E49" s="349">
        <v>500</v>
      </c>
      <c r="F49" s="451">
        <v>5370</v>
      </c>
      <c r="G49" s="452"/>
    </row>
    <row r="50" spans="1:7" ht="12.75" customHeight="1">
      <c r="A50" s="34" t="s">
        <v>24</v>
      </c>
      <c r="B50" s="413" t="s">
        <v>642</v>
      </c>
      <c r="C50" s="423"/>
      <c r="D50" s="349" t="s">
        <v>236</v>
      </c>
      <c r="E50" s="353">
        <v>1</v>
      </c>
      <c r="F50" s="451">
        <v>35770</v>
      </c>
      <c r="G50" s="452"/>
    </row>
    <row r="51" spans="1:7" ht="12.75" customHeight="1">
      <c r="A51" s="34" t="s">
        <v>103</v>
      </c>
      <c r="B51" s="382" t="s">
        <v>708</v>
      </c>
      <c r="C51" s="432"/>
      <c r="D51" s="119"/>
      <c r="E51" s="153" t="s">
        <v>699</v>
      </c>
      <c r="F51" s="424">
        <v>929</v>
      </c>
      <c r="G51" s="424"/>
    </row>
    <row r="52" spans="1:7" ht="12.75" customHeight="1">
      <c r="A52" s="34" t="s">
        <v>104</v>
      </c>
      <c r="B52" s="382" t="s">
        <v>170</v>
      </c>
      <c r="C52" s="432"/>
      <c r="D52" s="119"/>
      <c r="E52" s="153"/>
      <c r="F52" s="424">
        <v>23200</v>
      </c>
      <c r="G52" s="424"/>
    </row>
    <row r="53" spans="1:7" ht="12.75" customHeight="1">
      <c r="A53" s="34" t="s">
        <v>117</v>
      </c>
      <c r="B53" s="382" t="s">
        <v>709</v>
      </c>
      <c r="C53" s="432"/>
      <c r="D53" s="119"/>
      <c r="E53" s="153"/>
      <c r="F53" s="424">
        <v>9800</v>
      </c>
      <c r="G53" s="424"/>
    </row>
    <row r="54" spans="1:7" ht="12.75" customHeight="1">
      <c r="A54" s="34" t="s">
        <v>118</v>
      </c>
      <c r="B54" s="382" t="s">
        <v>710</v>
      </c>
      <c r="C54" s="432"/>
      <c r="D54" s="119"/>
      <c r="E54" s="153"/>
      <c r="F54" s="424">
        <v>600</v>
      </c>
      <c r="G54" s="424"/>
    </row>
    <row r="55" spans="1:7" ht="12.75" customHeight="1">
      <c r="A55" s="34" t="s">
        <v>119</v>
      </c>
      <c r="B55" s="117"/>
      <c r="C55" s="342"/>
      <c r="D55" s="119"/>
      <c r="E55" s="153"/>
      <c r="F55" s="424"/>
      <c r="G55" s="424"/>
    </row>
    <row r="56" spans="1:7" ht="12.75" customHeight="1">
      <c r="A56" s="34" t="s">
        <v>140</v>
      </c>
      <c r="B56" s="149" t="s">
        <v>191</v>
      </c>
      <c r="C56" s="150"/>
      <c r="D56" s="119"/>
      <c r="E56" s="119"/>
      <c r="F56" s="429">
        <f>E26*1%</f>
        <v>1010.1912</v>
      </c>
      <c r="G56" s="429"/>
    </row>
    <row r="57" spans="1:7" ht="12.75" customHeight="1">
      <c r="A57" s="67"/>
      <c r="B57" s="67"/>
      <c r="C57" s="67"/>
      <c r="D57" s="67"/>
      <c r="E57" s="67"/>
      <c r="F57" s="67"/>
      <c r="G57" s="67"/>
    </row>
    <row r="58" spans="1:7" ht="12.75" customHeight="1">
      <c r="A58" s="67" t="s">
        <v>55</v>
      </c>
      <c r="B58" s="67"/>
      <c r="C58" s="67" t="s">
        <v>49</v>
      </c>
      <c r="D58" s="67"/>
      <c r="E58" s="67"/>
      <c r="F58" s="67" t="s">
        <v>90</v>
      </c>
      <c r="G58" s="67"/>
    </row>
    <row r="59" spans="1:7" ht="12.75" customHeight="1">
      <c r="A59" s="67"/>
      <c r="B59" s="67"/>
      <c r="C59" s="67"/>
      <c r="D59" s="67"/>
      <c r="E59" s="67"/>
      <c r="F59" s="127" t="s">
        <v>438</v>
      </c>
      <c r="G59" s="67"/>
    </row>
    <row r="60" s="67" customFormat="1" ht="15">
      <c r="A60" s="67" t="s">
        <v>50</v>
      </c>
    </row>
    <row r="61" spans="3:7" s="67" customFormat="1" ht="15">
      <c r="C61" s="129" t="s">
        <v>51</v>
      </c>
      <c r="E61" s="129"/>
      <c r="F61" s="129"/>
      <c r="G61" s="129"/>
    </row>
    <row r="62" spans="1:7" ht="15">
      <c r="A62" s="67"/>
      <c r="B62" s="67"/>
      <c r="C62" s="67"/>
      <c r="D62" s="67"/>
      <c r="E62" s="67"/>
      <c r="F62" s="67"/>
      <c r="G62" s="67"/>
    </row>
    <row r="63" spans="1:7" ht="15">
      <c r="A63" s="67"/>
      <c r="B63" s="67"/>
      <c r="C63" s="67"/>
      <c r="D63" s="67"/>
      <c r="E63" s="67"/>
      <c r="F63" s="67"/>
      <c r="G63" s="67"/>
    </row>
  </sheetData>
  <sheetProtection/>
  <mergeCells count="34">
    <mergeCell ref="B54:C54"/>
    <mergeCell ref="F54:G54"/>
    <mergeCell ref="F55:G55"/>
    <mergeCell ref="B44:C44"/>
    <mergeCell ref="F46:G46"/>
    <mergeCell ref="F45:G45"/>
    <mergeCell ref="F47:G47"/>
    <mergeCell ref="F50:G50"/>
    <mergeCell ref="A12:I12"/>
    <mergeCell ref="A42:I42"/>
    <mergeCell ref="A37:C37"/>
    <mergeCell ref="F49:G49"/>
    <mergeCell ref="B46:C46"/>
    <mergeCell ref="B45:C45"/>
    <mergeCell ref="A1:I1"/>
    <mergeCell ref="A2:I2"/>
    <mergeCell ref="A5:I5"/>
    <mergeCell ref="A10:I10"/>
    <mergeCell ref="A11:I11"/>
    <mergeCell ref="B51:C51"/>
    <mergeCell ref="A36:F36"/>
    <mergeCell ref="A3:K3"/>
    <mergeCell ref="F44:G44"/>
    <mergeCell ref="F51:G51"/>
    <mergeCell ref="F53:G53"/>
    <mergeCell ref="F56:G56"/>
    <mergeCell ref="F48:G48"/>
    <mergeCell ref="B47:C47"/>
    <mergeCell ref="B48:C48"/>
    <mergeCell ref="B49:C49"/>
    <mergeCell ref="B50:C50"/>
    <mergeCell ref="F52:G52"/>
    <mergeCell ref="B52:C52"/>
    <mergeCell ref="B53:C53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49"/>
  <sheetViews>
    <sheetView zoomScalePageLayoutView="0" workbookViewId="0" topLeftCell="A33">
      <selection activeCell="D43" sqref="D43:G43"/>
    </sheetView>
  </sheetViews>
  <sheetFormatPr defaultColWidth="9.140625" defaultRowHeight="15" outlineLevelCol="1"/>
  <cols>
    <col min="1" max="1" width="5.57421875" style="35" customWidth="1"/>
    <col min="2" max="2" width="40.28125" style="35" bestFit="1" customWidth="1"/>
    <col min="3" max="3" width="13.7109375" style="35" customWidth="1"/>
    <col min="4" max="4" width="13.421875" style="35" customWidth="1"/>
    <col min="5" max="5" width="13.0039062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6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18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6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6" s="67" customFormat="1" ht="16.5" customHeight="1">
      <c r="A7" s="67" t="s">
        <v>2</v>
      </c>
      <c r="F7" s="127" t="s">
        <v>120</v>
      </c>
    </row>
    <row r="8" spans="1:9" s="67" customFormat="1" ht="15">
      <c r="A8" s="67" t="s">
        <v>3</v>
      </c>
      <c r="F8" s="127" t="s">
        <v>292</v>
      </c>
      <c r="I8" s="202" t="s">
        <v>291</v>
      </c>
    </row>
    <row r="9" s="67" customFormat="1" ht="15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284">
        <f>'[1] Пионерская 1318 кв.51-64'!$G$35</f>
        <v>0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284">
        <f>'[1] Пионерская 1318 кв.51-64'!$G$36</f>
        <v>-11795.199475000001</v>
      </c>
      <c r="H15" s="62"/>
      <c r="I15" s="62"/>
    </row>
    <row r="16" s="67" customFormat="1" ht="8.25" customHeight="1"/>
    <row r="17" spans="1:8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  <c r="H17" s="72"/>
    </row>
    <row r="18" spans="1:8" s="168" customFormat="1" ht="14.25">
      <c r="A18" s="75" t="s">
        <v>14</v>
      </c>
      <c r="B18" s="135" t="s">
        <v>15</v>
      </c>
      <c r="C18" s="136">
        <f>C19+C20+C21+C22</f>
        <v>9.879999999999999</v>
      </c>
      <c r="D18" s="76">
        <v>106514.04</v>
      </c>
      <c r="E18" s="76">
        <v>105251.37</v>
      </c>
      <c r="F18" s="76">
        <f>D18</f>
        <v>106514.04</v>
      </c>
      <c r="G18" s="77">
        <f>D18-E18</f>
        <v>1262.6699999999983</v>
      </c>
      <c r="H18" s="167">
        <f>C18</f>
        <v>9.879999999999999</v>
      </c>
    </row>
    <row r="19" spans="1:9" s="67" customFormat="1" ht="15">
      <c r="A19" s="81" t="s">
        <v>16</v>
      </c>
      <c r="B19" s="140" t="s">
        <v>17</v>
      </c>
      <c r="C19" s="99">
        <v>3.46</v>
      </c>
      <c r="D19" s="83">
        <f>D18*I19</f>
        <v>37301.47554655871</v>
      </c>
      <c r="E19" s="83">
        <f>E18*I19</f>
        <v>36859.28544534413</v>
      </c>
      <c r="F19" s="83">
        <f>D19</f>
        <v>37301.47554655871</v>
      </c>
      <c r="G19" s="84">
        <f aca="true" t="shared" si="0" ref="G19:G31">D19-E19</f>
        <v>442.1901012145754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140" t="s">
        <v>19</v>
      </c>
      <c r="C20" s="99">
        <v>1.69</v>
      </c>
      <c r="D20" s="83">
        <f>D18*I20</f>
        <v>18219.506842105264</v>
      </c>
      <c r="E20" s="83">
        <f>E18*I20</f>
        <v>18003.523815789475</v>
      </c>
      <c r="F20" s="83">
        <f>D20</f>
        <v>18219.506842105264</v>
      </c>
      <c r="G20" s="84">
        <f t="shared" si="0"/>
        <v>215.98302631578917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40" t="s">
        <v>21</v>
      </c>
      <c r="C21" s="99">
        <v>1.69</v>
      </c>
      <c r="D21" s="83">
        <f>D18*I21</f>
        <v>18219.506842105264</v>
      </c>
      <c r="E21" s="83">
        <f>E18*I21</f>
        <v>18003.523815789475</v>
      </c>
      <c r="F21" s="83">
        <f>D21</f>
        <v>18219.506842105264</v>
      </c>
      <c r="G21" s="84">
        <f t="shared" si="0"/>
        <v>215.98302631578917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40" t="s">
        <v>23</v>
      </c>
      <c r="C22" s="99">
        <v>3.04</v>
      </c>
      <c r="D22" s="83">
        <f>D18*I22</f>
        <v>32773.550769230766</v>
      </c>
      <c r="E22" s="83">
        <f>E18*I22</f>
        <v>32385.036923076925</v>
      </c>
      <c r="F22" s="83">
        <f>D22</f>
        <v>32773.550769230766</v>
      </c>
      <c r="G22" s="84">
        <f t="shared" si="0"/>
        <v>388.51384615384086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28</v>
      </c>
      <c r="C23" s="142">
        <v>0</v>
      </c>
      <c r="D23" s="77">
        <v>0</v>
      </c>
      <c r="E23" s="77">
        <v>0</v>
      </c>
      <c r="F23" s="77">
        <v>0</v>
      </c>
      <c r="G23" s="77">
        <f t="shared" si="0"/>
        <v>0</v>
      </c>
    </row>
    <row r="24" spans="1:7" s="39" customFormat="1" ht="14.25">
      <c r="A24" s="41" t="s">
        <v>27</v>
      </c>
      <c r="B24" s="141" t="s">
        <v>163</v>
      </c>
      <c r="C24" s="142">
        <v>0</v>
      </c>
      <c r="D24" s="77">
        <v>0</v>
      </c>
      <c r="E24" s="77">
        <v>0</v>
      </c>
      <c r="F24" s="77">
        <f>D24</f>
        <v>0</v>
      </c>
      <c r="G24" s="77">
        <f t="shared" si="0"/>
        <v>0</v>
      </c>
    </row>
    <row r="25" spans="1:7" s="39" customFormat="1" ht="14.25">
      <c r="A25" s="41" t="s">
        <v>29</v>
      </c>
      <c r="B25" s="141" t="s">
        <v>116</v>
      </c>
      <c r="C25" s="142">
        <v>1.86</v>
      </c>
      <c r="D25" s="77">
        <v>20052.24</v>
      </c>
      <c r="E25" s="77">
        <v>19814.72</v>
      </c>
      <c r="F25" s="87">
        <f>F41</f>
        <v>29384.5772</v>
      </c>
      <c r="G25" s="77">
        <f t="shared" si="0"/>
        <v>237.52000000000044</v>
      </c>
    </row>
    <row r="26" spans="1:7" s="39" customFormat="1" ht="14.25">
      <c r="A26" s="41" t="s">
        <v>198</v>
      </c>
      <c r="B26" s="135" t="s">
        <v>34</v>
      </c>
      <c r="C26" s="136">
        <v>0</v>
      </c>
      <c r="D26" s="77">
        <v>0</v>
      </c>
      <c r="E26" s="77">
        <v>0</v>
      </c>
      <c r="F26" s="87">
        <f>D26</f>
        <v>0</v>
      </c>
      <c r="G26" s="77">
        <f t="shared" si="0"/>
        <v>0</v>
      </c>
    </row>
    <row r="27" spans="1:7" s="39" customFormat="1" ht="14.25">
      <c r="A27" s="41" t="s">
        <v>199</v>
      </c>
      <c r="B27" s="135" t="s">
        <v>36</v>
      </c>
      <c r="C27" s="136"/>
      <c r="D27" s="77">
        <f>SUM(D28:D31)</f>
        <v>432178.18999999994</v>
      </c>
      <c r="E27" s="77">
        <f>SUM(E28:E31)</f>
        <v>419040.83</v>
      </c>
      <c r="F27" s="77">
        <f>SUM(F28:F31)</f>
        <v>432178.18999999994</v>
      </c>
      <c r="G27" s="77">
        <f t="shared" si="0"/>
        <v>13137.359999999928</v>
      </c>
    </row>
    <row r="28" spans="1:7" ht="15">
      <c r="A28" s="34" t="s">
        <v>200</v>
      </c>
      <c r="B28" s="34" t="s">
        <v>167</v>
      </c>
      <c r="C28" s="289" t="s">
        <v>406</v>
      </c>
      <c r="D28" s="291">
        <v>15228.28</v>
      </c>
      <c r="E28" s="291">
        <v>15016.9</v>
      </c>
      <c r="F28" s="293">
        <f>D28</f>
        <v>15228.28</v>
      </c>
      <c r="G28" s="84">
        <f t="shared" si="0"/>
        <v>211.38000000000102</v>
      </c>
    </row>
    <row r="29" spans="1:7" ht="15">
      <c r="A29" s="34" t="s">
        <v>201</v>
      </c>
      <c r="B29" s="34" t="s">
        <v>138</v>
      </c>
      <c r="C29" s="289" t="s">
        <v>409</v>
      </c>
      <c r="D29" s="291">
        <v>67737.12</v>
      </c>
      <c r="E29" s="291">
        <v>65331.61</v>
      </c>
      <c r="F29" s="293">
        <f>D29</f>
        <v>67737.12</v>
      </c>
      <c r="G29" s="84">
        <f t="shared" si="0"/>
        <v>2405.5099999999948</v>
      </c>
    </row>
    <row r="30" spans="1:7" ht="15">
      <c r="A30" s="34" t="s">
        <v>202</v>
      </c>
      <c r="B30" s="34" t="s">
        <v>40</v>
      </c>
      <c r="C30" s="290">
        <v>0</v>
      </c>
      <c r="D30" s="291">
        <v>0</v>
      </c>
      <c r="E30" s="291">
        <v>0</v>
      </c>
      <c r="F30" s="293">
        <f>D30</f>
        <v>0</v>
      </c>
      <c r="G30" s="84">
        <f t="shared" si="0"/>
        <v>0</v>
      </c>
    </row>
    <row r="31" spans="1:7" ht="15">
      <c r="A31" s="34" t="s">
        <v>203</v>
      </c>
      <c r="B31" s="34" t="s">
        <v>43</v>
      </c>
      <c r="C31" s="289" t="s">
        <v>407</v>
      </c>
      <c r="D31" s="291">
        <v>349212.79</v>
      </c>
      <c r="E31" s="291">
        <v>338692.32</v>
      </c>
      <c r="F31" s="293">
        <f>D31</f>
        <v>349212.79</v>
      </c>
      <c r="G31" s="84">
        <f t="shared" si="0"/>
        <v>10520.469999999972</v>
      </c>
    </row>
    <row r="32" spans="1:7" ht="15.75" thickBot="1">
      <c r="A32" s="41" t="s">
        <v>35</v>
      </c>
      <c r="B32" s="333" t="s">
        <v>304</v>
      </c>
      <c r="C32" s="99"/>
      <c r="D32" s="291">
        <v>3806</v>
      </c>
      <c r="E32" s="291">
        <v>3442</v>
      </c>
      <c r="F32" s="293">
        <v>0</v>
      </c>
      <c r="G32" s="291">
        <f>D32-E32</f>
        <v>364</v>
      </c>
    </row>
    <row r="33" spans="1:9" s="67" customFormat="1" ht="15.75" thickBot="1">
      <c r="A33" s="391" t="s">
        <v>410</v>
      </c>
      <c r="B33" s="392"/>
      <c r="C33" s="392"/>
      <c r="D33" s="65">
        <v>115049.75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412</v>
      </c>
      <c r="B35" s="64"/>
      <c r="C35" s="64"/>
      <c r="D35" s="69"/>
      <c r="E35" s="70"/>
      <c r="F35" s="70"/>
      <c r="G35" s="284">
        <f>G14+E26-F26</f>
        <v>0</v>
      </c>
      <c r="H35" s="62"/>
      <c r="I35" s="62"/>
    </row>
    <row r="36" spans="1:9" s="67" customFormat="1" ht="15.75" thickBot="1">
      <c r="A36" s="63" t="s">
        <v>413</v>
      </c>
      <c r="B36" s="64"/>
      <c r="C36" s="64"/>
      <c r="D36" s="69"/>
      <c r="E36" s="70"/>
      <c r="F36" s="70"/>
      <c r="G36" s="284">
        <f>G15+E25-F25</f>
        <v>-21365.056675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ht="33.75" customHeight="1">
      <c r="A38" s="377" t="s">
        <v>44</v>
      </c>
      <c r="B38" s="417"/>
      <c r="C38" s="417"/>
      <c r="D38" s="417"/>
      <c r="E38" s="417"/>
      <c r="F38" s="417"/>
      <c r="G38" s="417"/>
      <c r="H38" s="58"/>
      <c r="I38" s="58"/>
    </row>
    <row r="40" spans="1:7" s="172" customFormat="1" ht="28.5" customHeight="1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401" t="s">
        <v>46</v>
      </c>
      <c r="G40" s="419"/>
    </row>
    <row r="41" spans="1:7" s="115" customFormat="1" ht="15" customHeight="1">
      <c r="A41" s="109" t="s">
        <v>47</v>
      </c>
      <c r="B41" s="403" t="s">
        <v>111</v>
      </c>
      <c r="C41" s="425"/>
      <c r="D41" s="285"/>
      <c r="E41" s="285"/>
      <c r="F41" s="421">
        <f>SUM(F42:G44)</f>
        <v>29384.5772</v>
      </c>
      <c r="G41" s="422"/>
    </row>
    <row r="42" spans="1:7" ht="27" customHeight="1">
      <c r="A42" s="34" t="s">
        <v>16</v>
      </c>
      <c r="B42" s="413" t="s">
        <v>686</v>
      </c>
      <c r="C42" s="423"/>
      <c r="D42" s="349" t="s">
        <v>236</v>
      </c>
      <c r="E42" s="354">
        <v>1</v>
      </c>
      <c r="F42" s="418">
        <v>25000</v>
      </c>
      <c r="G42" s="418"/>
    </row>
    <row r="43" spans="1:7" ht="27" customHeight="1">
      <c r="A43" s="34" t="s">
        <v>18</v>
      </c>
      <c r="B43" s="427" t="s">
        <v>263</v>
      </c>
      <c r="C43" s="428"/>
      <c r="D43" s="350" t="s">
        <v>230</v>
      </c>
      <c r="E43" s="352">
        <v>0.03</v>
      </c>
      <c r="F43" s="418">
        <v>4186.43</v>
      </c>
      <c r="G43" s="418"/>
    </row>
    <row r="44" spans="1:7" ht="15.75" customHeight="1">
      <c r="A44" s="34" t="s">
        <v>20</v>
      </c>
      <c r="B44" s="411" t="s">
        <v>191</v>
      </c>
      <c r="C44" s="426"/>
      <c r="D44" s="286"/>
      <c r="E44" s="286"/>
      <c r="F44" s="424">
        <f>E25*1%</f>
        <v>198.14720000000003</v>
      </c>
      <c r="G44" s="424"/>
    </row>
    <row r="45" spans="2:5" ht="15">
      <c r="B45" s="155"/>
      <c r="C45" s="155"/>
      <c r="D45" s="155"/>
      <c r="E45" s="155"/>
    </row>
    <row r="46" spans="1:6" s="67" customFormat="1" ht="15">
      <c r="A46" s="67" t="s">
        <v>55</v>
      </c>
      <c r="C46" s="67" t="s">
        <v>49</v>
      </c>
      <c r="F46" s="67" t="s">
        <v>90</v>
      </c>
    </row>
    <row r="47" s="67" customFormat="1" ht="15">
      <c r="F47" s="127" t="s">
        <v>684</v>
      </c>
    </row>
    <row r="48" s="67" customFormat="1" ht="15">
      <c r="A48" s="67" t="s">
        <v>50</v>
      </c>
    </row>
    <row r="49" spans="3:7" s="67" customFormat="1" ht="15">
      <c r="C49" s="129" t="s">
        <v>51</v>
      </c>
      <c r="E49" s="129"/>
      <c r="F49" s="129"/>
      <c r="G49" s="129"/>
    </row>
    <row r="50" s="67" customFormat="1" ht="15"/>
    <row r="51" s="67" customFormat="1" ht="15"/>
  </sheetData>
  <sheetProtection/>
  <mergeCells count="19">
    <mergeCell ref="A11:I11"/>
    <mergeCell ref="B44:C44"/>
    <mergeCell ref="F44:G44"/>
    <mergeCell ref="B41:C41"/>
    <mergeCell ref="F41:G41"/>
    <mergeCell ref="B42:C42"/>
    <mergeCell ref="B43:C43"/>
    <mergeCell ref="F43:G43"/>
    <mergeCell ref="F40:G40"/>
    <mergeCell ref="A1:I1"/>
    <mergeCell ref="A2:I2"/>
    <mergeCell ref="A3:K3"/>
    <mergeCell ref="A5:I5"/>
    <mergeCell ref="A10:I10"/>
    <mergeCell ref="F42:G42"/>
    <mergeCell ref="A12:I12"/>
    <mergeCell ref="A33:C33"/>
    <mergeCell ref="A38:G38"/>
    <mergeCell ref="B40:C40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5"/>
  <sheetViews>
    <sheetView zoomScalePageLayoutView="0" workbookViewId="0" topLeftCell="A41">
      <selection activeCell="F50" sqref="F50:G50"/>
    </sheetView>
  </sheetViews>
  <sheetFormatPr defaultColWidth="9.140625" defaultRowHeight="15" outlineLevelCol="1"/>
  <cols>
    <col min="1" max="1" width="4.8515625" style="35" customWidth="1"/>
    <col min="2" max="2" width="48.00390625" style="35" bestFit="1" customWidth="1"/>
    <col min="3" max="3" width="12.421875" style="35" customWidth="1"/>
    <col min="4" max="5" width="13.00390625" style="35" customWidth="1"/>
    <col min="6" max="6" width="13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.7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5.2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6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" customHeight="1"/>
    <row r="7" spans="1:6" s="67" customFormat="1" ht="16.5" customHeight="1">
      <c r="A7" s="67" t="s">
        <v>2</v>
      </c>
      <c r="F7" s="127" t="s">
        <v>106</v>
      </c>
    </row>
    <row r="8" spans="1:11" s="67" customFormat="1" ht="15">
      <c r="A8" s="67" t="s">
        <v>3</v>
      </c>
      <c r="F8" s="295" t="s">
        <v>465</v>
      </c>
      <c r="H8" s="67">
        <f>31.9+31+31.2+46.1</f>
        <v>140.2</v>
      </c>
      <c r="I8" s="202">
        <f>34.8+33.2</f>
        <v>68</v>
      </c>
      <c r="J8" s="202">
        <v>2466.9</v>
      </c>
      <c r="K8" s="202">
        <f>J8+H8+I8</f>
        <v>2675.1</v>
      </c>
    </row>
    <row r="9" s="67" customFormat="1" ht="5.25" customHeight="1"/>
    <row r="10" spans="1:9" s="67" customFormat="1" ht="12" customHeight="1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2" customHeight="1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2" customHeight="1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'[1]Ленина 67'!$G$36</f>
        <v>122057.87999999998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'[1]Ленина 67'!$G$37</f>
        <v>197853.3868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15">
      <c r="A18" s="75" t="s">
        <v>14</v>
      </c>
      <c r="B18" s="41" t="s">
        <v>15</v>
      </c>
      <c r="C18" s="136">
        <f>C19+C20+C21+C22</f>
        <v>9.879999999999999</v>
      </c>
      <c r="D18" s="76">
        <v>315874.68</v>
      </c>
      <c r="E18" s="76">
        <v>306073.97</v>
      </c>
      <c r="F18" s="76">
        <f aca="true" t="shared" si="0" ref="F18:F25">D18</f>
        <v>315874.68</v>
      </c>
      <c r="G18" s="77">
        <f>D18-E18</f>
        <v>9800.710000000021</v>
      </c>
      <c r="H18" s="146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110620.08024291499</v>
      </c>
      <c r="E19" s="83">
        <f>E18*I19</f>
        <v>107187.84779352226</v>
      </c>
      <c r="F19" s="83">
        <f t="shared" si="0"/>
        <v>110620.08024291499</v>
      </c>
      <c r="G19" s="84">
        <f>D19-E19</f>
        <v>3432.23244939273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54031.1952631579</v>
      </c>
      <c r="E20" s="83">
        <f>E18*I20</f>
        <v>52354.75802631579</v>
      </c>
      <c r="F20" s="83">
        <f t="shared" si="0"/>
        <v>54031.1952631579</v>
      </c>
      <c r="G20" s="84">
        <f>D20-E20</f>
        <v>1676.43723684211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54031.1952631579</v>
      </c>
      <c r="E21" s="83">
        <f>E18*I21</f>
        <v>52354.75802631579</v>
      </c>
      <c r="F21" s="83">
        <f t="shared" si="0"/>
        <v>54031.1952631579</v>
      </c>
      <c r="G21" s="84">
        <f>D21-E21</f>
        <v>1676.43723684211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97192.20923076924</v>
      </c>
      <c r="E22" s="83">
        <f>E18*I22</f>
        <v>94176.60615384615</v>
      </c>
      <c r="F22" s="83">
        <f t="shared" si="0"/>
        <v>97192.20923076924</v>
      </c>
      <c r="G22" s="84">
        <f>D22-E22</f>
        <v>3015.6030769230856</v>
      </c>
      <c r="H22" s="146">
        <f>C22</f>
        <v>3.04</v>
      </c>
      <c r="I22" s="67">
        <f>H22/H18</f>
        <v>0.3076923076923077</v>
      </c>
    </row>
    <row r="23" spans="1:7" ht="15">
      <c r="A23" s="41" t="s">
        <v>25</v>
      </c>
      <c r="B23" s="141" t="s">
        <v>137</v>
      </c>
      <c r="C23" s="46">
        <v>0</v>
      </c>
      <c r="D23" s="77">
        <v>0</v>
      </c>
      <c r="E23" s="77">
        <v>0</v>
      </c>
      <c r="F23" s="77">
        <f t="shared" si="0"/>
        <v>0</v>
      </c>
      <c r="G23" s="77">
        <f aca="true" t="shared" si="1" ref="G23:G32">D23-E23</f>
        <v>0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">
      <c r="A25" s="41" t="s">
        <v>29</v>
      </c>
      <c r="B25" s="141" t="s">
        <v>163</v>
      </c>
      <c r="C25" s="142">
        <v>12.54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1" t="s">
        <v>116</v>
      </c>
      <c r="C26" s="97">
        <v>1.86</v>
      </c>
      <c r="D26" s="77">
        <v>59438.26</v>
      </c>
      <c r="E26" s="77">
        <v>57018.97</v>
      </c>
      <c r="F26" s="87">
        <f>F44</f>
        <v>53570.2797</v>
      </c>
      <c r="G26" s="77">
        <f t="shared" si="1"/>
        <v>2419.290000000001</v>
      </c>
    </row>
    <row r="27" spans="1:9" s="38" customFormat="1" ht="15">
      <c r="A27" s="41" t="s">
        <v>33</v>
      </c>
      <c r="B27" s="135" t="s">
        <v>34</v>
      </c>
      <c r="C27" s="46">
        <v>0</v>
      </c>
      <c r="D27" s="77">
        <v>0</v>
      </c>
      <c r="E27" s="77">
        <v>776.47</v>
      </c>
      <c r="F27" s="87">
        <v>0</v>
      </c>
      <c r="G27" s="77">
        <f t="shared" si="1"/>
        <v>-776.47</v>
      </c>
      <c r="H27" s="35"/>
      <c r="I27" s="35"/>
    </row>
    <row r="28" spans="1:7" ht="15">
      <c r="A28" s="41" t="s">
        <v>35</v>
      </c>
      <c r="B28" s="135" t="s">
        <v>36</v>
      </c>
      <c r="C28" s="97"/>
      <c r="D28" s="77">
        <f>SUM(D29:D32)</f>
        <v>1358644.49</v>
      </c>
      <c r="E28" s="77">
        <f>SUM(E29:E32)</f>
        <v>1348199.67</v>
      </c>
      <c r="F28" s="77">
        <f>SUM(F29:F32)</f>
        <v>1358644.49</v>
      </c>
      <c r="G28" s="77">
        <f t="shared" si="1"/>
        <v>10444.820000000065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35177.61</v>
      </c>
      <c r="E29" s="84">
        <v>34934.12</v>
      </c>
      <c r="F29" s="84">
        <f>D29</f>
        <v>35177.61</v>
      </c>
      <c r="G29" s="84">
        <f t="shared" si="1"/>
        <v>243.48999999999796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364570.02</v>
      </c>
      <c r="E30" s="84">
        <v>358029.14</v>
      </c>
      <c r="F30" s="84">
        <f>D30</f>
        <v>364570.02</v>
      </c>
      <c r="G30" s="84">
        <f t="shared" si="1"/>
        <v>6540.880000000005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ht="25.5">
      <c r="A32" s="34" t="s">
        <v>41</v>
      </c>
      <c r="B32" s="34" t="s">
        <v>43</v>
      </c>
      <c r="C32" s="289" t="s">
        <v>407</v>
      </c>
      <c r="D32" s="84">
        <v>958896.86</v>
      </c>
      <c r="E32" s="84">
        <v>955236.41</v>
      </c>
      <c r="F32" s="84">
        <f>D32</f>
        <v>958896.86</v>
      </c>
      <c r="G32" s="84">
        <f t="shared" si="1"/>
        <v>3660.4499999999534</v>
      </c>
      <c r="H32" s="101"/>
      <c r="I32" s="101"/>
    </row>
    <row r="33" spans="1:9" ht="15.75" thickBot="1">
      <c r="A33" s="379" t="s">
        <v>328</v>
      </c>
      <c r="B33" s="380"/>
      <c r="C33" s="380"/>
      <c r="D33" s="381"/>
      <c r="E33" s="381"/>
      <c r="F33" s="381"/>
      <c r="G33" s="171"/>
      <c r="H33" s="101"/>
      <c r="I33" s="101"/>
    </row>
    <row r="34" spans="1:10" s="102" customFormat="1" ht="14.25" thickBot="1">
      <c r="A34" s="391" t="s">
        <v>410</v>
      </c>
      <c r="B34" s="392"/>
      <c r="C34" s="392"/>
      <c r="D34" s="65">
        <v>701790.32</v>
      </c>
      <c r="E34" s="66"/>
      <c r="F34" s="66"/>
      <c r="G34" s="66"/>
      <c r="H34" s="62"/>
      <c r="I34" s="62"/>
      <c r="J34" s="101"/>
    </row>
    <row r="35" spans="1:9" s="67" customFormat="1" ht="8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122834.34999999998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201302.0771</v>
      </c>
      <c r="H37" s="62"/>
      <c r="I37" s="62"/>
    </row>
    <row r="38" spans="1:9" s="67" customFormat="1" ht="15">
      <c r="A38" s="490" t="s">
        <v>373</v>
      </c>
      <c r="B38" s="491"/>
      <c r="C38" s="324"/>
      <c r="D38" s="324"/>
      <c r="E38" s="325"/>
      <c r="F38" s="325"/>
      <c r="G38" s="325"/>
      <c r="H38" s="62"/>
      <c r="I38" s="62"/>
    </row>
    <row r="39" spans="1:9" s="67" customFormat="1" ht="15">
      <c r="A39" s="519" t="s">
        <v>146</v>
      </c>
      <c r="B39" s="520"/>
      <c r="C39" s="316" t="s">
        <v>147</v>
      </c>
      <c r="D39" s="316" t="s">
        <v>148</v>
      </c>
      <c r="E39" s="317" t="s">
        <v>149</v>
      </c>
      <c r="F39" s="318" t="s">
        <v>150</v>
      </c>
      <c r="G39" s="317" t="s">
        <v>151</v>
      </c>
      <c r="H39" s="62"/>
      <c r="I39" s="62"/>
    </row>
    <row r="40" spans="1:9" s="67" customFormat="1" ht="15">
      <c r="A40" s="521"/>
      <c r="B40" s="522"/>
      <c r="C40" s="298">
        <f>34.8+33.2</f>
        <v>68</v>
      </c>
      <c r="D40" s="319">
        <f>E40/C40/12</f>
        <v>11.594803921568628</v>
      </c>
      <c r="E40" s="321">
        <f>4838.56+4622.8</f>
        <v>9461.36</v>
      </c>
      <c r="F40" s="321">
        <f>4430.01+19690.74</f>
        <v>24120.75</v>
      </c>
      <c r="G40" s="319">
        <f>E40-F40</f>
        <v>-14659.39</v>
      </c>
      <c r="H40" s="62"/>
      <c r="I40" s="302">
        <f>34.8+33.2</f>
        <v>68</v>
      </c>
    </row>
    <row r="41" spans="1:9" ht="27" customHeight="1">
      <c r="A41" s="463"/>
      <c r="B41" s="463"/>
      <c r="C41" s="463"/>
      <c r="D41" s="463"/>
      <c r="E41" s="463"/>
      <c r="F41" s="463"/>
      <c r="G41" s="463"/>
      <c r="H41" s="463"/>
      <c r="I41" s="463"/>
    </row>
    <row r="42" ht="3.75" customHeight="1"/>
    <row r="43" spans="1:7" s="172" customFormat="1" ht="28.5" customHeight="1">
      <c r="A43" s="105" t="s">
        <v>11</v>
      </c>
      <c r="B43" s="401" t="s">
        <v>45</v>
      </c>
      <c r="C43" s="420"/>
      <c r="D43" s="105" t="s">
        <v>165</v>
      </c>
      <c r="E43" s="105" t="s">
        <v>164</v>
      </c>
      <c r="F43" s="401" t="s">
        <v>46</v>
      </c>
      <c r="G43" s="420"/>
    </row>
    <row r="44" spans="1:7" s="115" customFormat="1" ht="12.75" customHeight="1">
      <c r="A44" s="109" t="s">
        <v>47</v>
      </c>
      <c r="B44" s="403" t="s">
        <v>111</v>
      </c>
      <c r="C44" s="425"/>
      <c r="D44" s="111"/>
      <c r="E44" s="111"/>
      <c r="F44" s="430">
        <f>SUM(F45:L50)</f>
        <v>53570.2797</v>
      </c>
      <c r="G44" s="419"/>
    </row>
    <row r="45" spans="1:7" ht="30" customHeight="1">
      <c r="A45" s="34" t="s">
        <v>16</v>
      </c>
      <c r="B45" s="413" t="s">
        <v>639</v>
      </c>
      <c r="C45" s="423"/>
      <c r="D45" s="349" t="s">
        <v>229</v>
      </c>
      <c r="E45" s="349">
        <v>0.03</v>
      </c>
      <c r="F45" s="451">
        <v>5010.09</v>
      </c>
      <c r="G45" s="452"/>
    </row>
    <row r="46" spans="1:7" ht="12.75" customHeight="1">
      <c r="A46" s="34" t="s">
        <v>18</v>
      </c>
      <c r="B46" s="413" t="s">
        <v>547</v>
      </c>
      <c r="C46" s="423"/>
      <c r="D46" s="349" t="s">
        <v>548</v>
      </c>
      <c r="E46" s="349">
        <v>2.25</v>
      </c>
      <c r="F46" s="431">
        <v>990</v>
      </c>
      <c r="G46" s="431"/>
    </row>
    <row r="47" spans="1:7" ht="12.75" customHeight="1">
      <c r="A47" s="34" t="s">
        <v>20</v>
      </c>
      <c r="B47" s="382" t="s">
        <v>711</v>
      </c>
      <c r="C47" s="432"/>
      <c r="D47" s="119"/>
      <c r="E47" s="153"/>
      <c r="F47" s="424">
        <v>28000</v>
      </c>
      <c r="G47" s="424"/>
    </row>
    <row r="48" spans="1:7" ht="12.75" customHeight="1">
      <c r="A48" s="34" t="s">
        <v>22</v>
      </c>
      <c r="B48" s="382" t="s">
        <v>712</v>
      </c>
      <c r="C48" s="432"/>
      <c r="D48" s="119"/>
      <c r="E48" s="153"/>
      <c r="F48" s="424">
        <v>10000</v>
      </c>
      <c r="G48" s="424"/>
    </row>
    <row r="49" spans="1:7" ht="12.75" customHeight="1">
      <c r="A49" s="34" t="s">
        <v>24</v>
      </c>
      <c r="B49" s="382" t="s">
        <v>713</v>
      </c>
      <c r="C49" s="432"/>
      <c r="D49" s="119"/>
      <c r="E49" s="153"/>
      <c r="F49" s="424">
        <v>9000</v>
      </c>
      <c r="G49" s="424"/>
    </row>
    <row r="50" spans="1:7" ht="15">
      <c r="A50" s="34" t="s">
        <v>103</v>
      </c>
      <c r="B50" s="149" t="s">
        <v>191</v>
      </c>
      <c r="C50" s="150"/>
      <c r="D50" s="119"/>
      <c r="E50" s="119"/>
      <c r="F50" s="429">
        <f>E26*1%</f>
        <v>570.1897</v>
      </c>
      <c r="G50" s="429"/>
    </row>
    <row r="51" spans="1:7" ht="15">
      <c r="A51" s="67"/>
      <c r="B51" s="67"/>
      <c r="C51" s="67"/>
      <c r="D51" s="67"/>
      <c r="E51" s="67"/>
      <c r="F51" s="67"/>
      <c r="G51" s="67"/>
    </row>
    <row r="52" spans="1:7" ht="15">
      <c r="A52" s="67" t="s">
        <v>55</v>
      </c>
      <c r="B52" s="67"/>
      <c r="C52" s="67" t="s">
        <v>49</v>
      </c>
      <c r="D52" s="67"/>
      <c r="E52" s="67"/>
      <c r="F52" s="67" t="s">
        <v>90</v>
      </c>
      <c r="G52" s="67"/>
    </row>
    <row r="53" spans="1:7" ht="15">
      <c r="A53" s="67"/>
      <c r="B53" s="67"/>
      <c r="C53" s="67"/>
      <c r="D53" s="67"/>
      <c r="E53" s="67"/>
      <c r="F53" s="127" t="s">
        <v>438</v>
      </c>
      <c r="G53" s="67"/>
    </row>
    <row r="54" spans="1:7" ht="15">
      <c r="A54" s="67" t="s">
        <v>50</v>
      </c>
      <c r="B54" s="67"/>
      <c r="C54" s="67"/>
      <c r="D54" s="67"/>
      <c r="E54" s="67"/>
      <c r="F54" s="67"/>
      <c r="G54" s="67"/>
    </row>
    <row r="55" spans="1:7" ht="15">
      <c r="A55" s="67"/>
      <c r="B55" s="67"/>
      <c r="C55" s="129" t="s">
        <v>51</v>
      </c>
      <c r="D55" s="67"/>
      <c r="E55" s="129"/>
      <c r="F55" s="129"/>
      <c r="G55" s="129"/>
    </row>
  </sheetData>
  <sheetProtection/>
  <mergeCells count="27">
    <mergeCell ref="B48:C48"/>
    <mergeCell ref="B49:C49"/>
    <mergeCell ref="F48:G48"/>
    <mergeCell ref="F50:G50"/>
    <mergeCell ref="B43:C43"/>
    <mergeCell ref="B44:C44"/>
    <mergeCell ref="B45:C45"/>
    <mergeCell ref="B46:C46"/>
    <mergeCell ref="F46:G46"/>
    <mergeCell ref="F44:G44"/>
    <mergeCell ref="B47:C47"/>
    <mergeCell ref="F47:G47"/>
    <mergeCell ref="F49:G49"/>
    <mergeCell ref="A1:I1"/>
    <mergeCell ref="A2:I2"/>
    <mergeCell ref="A5:I5"/>
    <mergeCell ref="A10:I10"/>
    <mergeCell ref="A3:K3"/>
    <mergeCell ref="A11:I11"/>
    <mergeCell ref="A34:C34"/>
    <mergeCell ref="A12:I12"/>
    <mergeCell ref="A41:I41"/>
    <mergeCell ref="F43:G43"/>
    <mergeCell ref="F45:G45"/>
    <mergeCell ref="A33:F33"/>
    <mergeCell ref="A38:B38"/>
    <mergeCell ref="A39:B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A34">
      <selection activeCell="F43" sqref="F43:G43"/>
    </sheetView>
  </sheetViews>
  <sheetFormatPr defaultColWidth="9.140625" defaultRowHeight="15" outlineLevelCol="1"/>
  <cols>
    <col min="1" max="1" width="5.57421875" style="35" customWidth="1"/>
    <col min="2" max="2" width="49.28125" style="35" customWidth="1"/>
    <col min="3" max="3" width="13.00390625" style="35" customWidth="1"/>
    <col min="4" max="4" width="13.421875" style="35" customWidth="1"/>
    <col min="5" max="5" width="13.8515625" style="35" customWidth="1"/>
    <col min="6" max="6" width="12.8515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3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6" customHeight="1"/>
    <row r="7" spans="1:6" s="67" customFormat="1" ht="16.5" customHeight="1">
      <c r="A7" s="67" t="s">
        <v>2</v>
      </c>
      <c r="F7" s="127" t="s">
        <v>107</v>
      </c>
    </row>
    <row r="8" spans="1:6" s="67" customFormat="1" ht="15">
      <c r="A8" s="67" t="s">
        <v>3</v>
      </c>
      <c r="F8" s="295" t="s">
        <v>466</v>
      </c>
    </row>
    <row r="9" s="67" customFormat="1" ht="4.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331</v>
      </c>
      <c r="B14" s="64"/>
      <c r="C14" s="64"/>
      <c r="D14" s="69"/>
      <c r="E14" s="70"/>
      <c r="F14" s="70"/>
      <c r="G14" s="145">
        <f>'[1]Огарева 20'!$G$35</f>
        <v>179170.6541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16" s="67" customFormat="1" ht="15">
      <c r="A17" s="75" t="s">
        <v>14</v>
      </c>
      <c r="B17" s="41" t="s">
        <v>15</v>
      </c>
      <c r="C17" s="136">
        <f>C18+C19+C20+C21</f>
        <v>10.34</v>
      </c>
      <c r="D17" s="76">
        <v>271984.01</v>
      </c>
      <c r="E17" s="76">
        <v>255623.67</v>
      </c>
      <c r="F17" s="76">
        <f aca="true" t="shared" si="0" ref="F17:F24">D17</f>
        <v>271984.01</v>
      </c>
      <c r="G17" s="77">
        <f>D17-E17</f>
        <v>16360.339999999997</v>
      </c>
      <c r="H17" s="78">
        <f>C17</f>
        <v>10.34</v>
      </c>
      <c r="I17" s="168"/>
      <c r="N17" s="211"/>
      <c r="O17" s="211"/>
      <c r="P17" s="211"/>
    </row>
    <row r="18" spans="1:9" s="67" customFormat="1" ht="15">
      <c r="A18" s="81" t="s">
        <v>16</v>
      </c>
      <c r="B18" s="34" t="s">
        <v>17</v>
      </c>
      <c r="C18" s="99">
        <v>3.46</v>
      </c>
      <c r="D18" s="83">
        <f>D17*I18</f>
        <v>91012.0575048356</v>
      </c>
      <c r="E18" s="83">
        <f>E17*I18</f>
        <v>85537.5143326886</v>
      </c>
      <c r="F18" s="83">
        <f t="shared" si="0"/>
        <v>91012.0575048356</v>
      </c>
      <c r="G18" s="84">
        <f>D18-E18</f>
        <v>5474.543172146994</v>
      </c>
      <c r="H18" s="78">
        <f>C18</f>
        <v>3.46</v>
      </c>
      <c r="I18" s="67">
        <f>H18/H17</f>
        <v>0.33462282398452614</v>
      </c>
    </row>
    <row r="19" spans="1:9" s="67" customFormat="1" ht="15">
      <c r="A19" s="81" t="s">
        <v>18</v>
      </c>
      <c r="B19" s="34" t="s">
        <v>19</v>
      </c>
      <c r="C19" s="99">
        <v>1.69</v>
      </c>
      <c r="D19" s="83">
        <f>D17*I19</f>
        <v>44453.866237911025</v>
      </c>
      <c r="E19" s="83">
        <f>E17*I19</f>
        <v>41779.88416827853</v>
      </c>
      <c r="F19" s="83">
        <f t="shared" si="0"/>
        <v>44453.866237911025</v>
      </c>
      <c r="G19" s="84">
        <f>D19-E19</f>
        <v>2673.982069632497</v>
      </c>
      <c r="H19" s="78">
        <f>C19</f>
        <v>1.69</v>
      </c>
      <c r="I19" s="67">
        <f>H19/H17</f>
        <v>0.1634429400386847</v>
      </c>
    </row>
    <row r="20" spans="1:9" s="67" customFormat="1" ht="15">
      <c r="A20" s="81" t="s">
        <v>20</v>
      </c>
      <c r="B20" s="34" t="s">
        <v>21</v>
      </c>
      <c r="C20" s="99">
        <v>2.15</v>
      </c>
      <c r="D20" s="83">
        <f>D17*I20</f>
        <v>56553.73515473888</v>
      </c>
      <c r="E20" s="83">
        <f>E17*I20</f>
        <v>53151.92364603482</v>
      </c>
      <c r="F20" s="83">
        <f t="shared" si="0"/>
        <v>56553.73515473888</v>
      </c>
      <c r="G20" s="84">
        <f>D20-E20</f>
        <v>3401.811508704064</v>
      </c>
      <c r="H20" s="78">
        <f>C20</f>
        <v>2.15</v>
      </c>
      <c r="I20" s="67">
        <f>H20/H17</f>
        <v>0.2079303675048356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79964.35110251451</v>
      </c>
      <c r="E21" s="83">
        <f>E17*I21</f>
        <v>75154.34785299808</v>
      </c>
      <c r="F21" s="83">
        <f t="shared" si="0"/>
        <v>79964.35110251451</v>
      </c>
      <c r="G21" s="84">
        <f>D21-E21</f>
        <v>4810.003249516434</v>
      </c>
      <c r="H21" s="78">
        <f>C21</f>
        <v>3.04</v>
      </c>
      <c r="I21" s="67">
        <f>H21/H17</f>
        <v>0.2940038684719536</v>
      </c>
    </row>
    <row r="22" spans="1:9" ht="15">
      <c r="A22" s="41" t="s">
        <v>25</v>
      </c>
      <c r="B22" s="41" t="s">
        <v>26</v>
      </c>
      <c r="C22" s="142">
        <v>0</v>
      </c>
      <c r="D22" s="77">
        <v>0</v>
      </c>
      <c r="E22" s="77">
        <v>0</v>
      </c>
      <c r="F22" s="76">
        <f t="shared" si="0"/>
        <v>0</v>
      </c>
      <c r="G22" s="77">
        <f aca="true" t="shared" si="1" ref="G22:G31">D22-E22</f>
        <v>0</v>
      </c>
      <c r="H22" s="39"/>
      <c r="I22" s="39"/>
    </row>
    <row r="23" spans="1:9" ht="15">
      <c r="A23" s="41" t="s">
        <v>27</v>
      </c>
      <c r="B23" s="41" t="s">
        <v>28</v>
      </c>
      <c r="C23" s="142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  <c r="H23" s="39"/>
      <c r="I23" s="39"/>
    </row>
    <row r="24" spans="1:9" ht="15">
      <c r="A24" s="41" t="s">
        <v>29</v>
      </c>
      <c r="B24" s="41" t="s">
        <v>30</v>
      </c>
      <c r="C24" s="142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  <c r="H24" s="39"/>
      <c r="I24" s="39"/>
    </row>
    <row r="25" spans="1:9" ht="15">
      <c r="A25" s="41" t="s">
        <v>31</v>
      </c>
      <c r="B25" s="41" t="s">
        <v>116</v>
      </c>
      <c r="C25" s="142">
        <v>2.06</v>
      </c>
      <c r="D25" s="77">
        <v>51266.67</v>
      </c>
      <c r="E25" s="77">
        <v>50927.29</v>
      </c>
      <c r="F25" s="87">
        <f>F40</f>
        <v>61279.2729</v>
      </c>
      <c r="G25" s="77">
        <f t="shared" si="1"/>
        <v>339.3799999999974</v>
      </c>
      <c r="H25" s="39"/>
      <c r="I25" s="39"/>
    </row>
    <row r="26" spans="1:9" ht="15">
      <c r="A26" s="214">
        <v>6</v>
      </c>
      <c r="B26" s="86" t="s">
        <v>163</v>
      </c>
      <c r="C26" s="136" t="s">
        <v>334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39"/>
      <c r="I26" s="39"/>
    </row>
    <row r="27" spans="1:9" ht="15">
      <c r="A27" s="214">
        <f>A26+1</f>
        <v>7</v>
      </c>
      <c r="B27" s="41" t="s">
        <v>36</v>
      </c>
      <c r="C27" s="143"/>
      <c r="D27" s="77">
        <f>SUM(D28:D31)</f>
        <v>1321146.09</v>
      </c>
      <c r="E27" s="77">
        <f>SUM(E28:E31)</f>
        <v>1318564.6800000002</v>
      </c>
      <c r="F27" s="77">
        <f>SUM(F28:F31)</f>
        <v>862758.3700000001</v>
      </c>
      <c r="G27" s="77">
        <f t="shared" si="1"/>
        <v>2581.409999999916</v>
      </c>
      <c r="H27" s="39"/>
      <c r="I27" s="39"/>
    </row>
    <row r="28" spans="1:7" ht="15">
      <c r="A28" s="215" t="s">
        <v>37</v>
      </c>
      <c r="B28" s="34" t="s">
        <v>93</v>
      </c>
      <c r="C28" s="289" t="s">
        <v>406</v>
      </c>
      <c r="D28" s="84">
        <v>11498.45</v>
      </c>
      <c r="E28" s="84">
        <v>11554.84</v>
      </c>
      <c r="F28" s="84">
        <f>D28</f>
        <v>11498.45</v>
      </c>
      <c r="G28" s="84">
        <f t="shared" si="1"/>
        <v>-56.38999999999942</v>
      </c>
    </row>
    <row r="29" spans="1:7" ht="15">
      <c r="A29" s="215" t="s">
        <v>39</v>
      </c>
      <c r="B29" s="34" t="s">
        <v>138</v>
      </c>
      <c r="C29" s="289" t="s">
        <v>409</v>
      </c>
      <c r="D29" s="84">
        <v>258752.45</v>
      </c>
      <c r="E29" s="84">
        <v>264884.04</v>
      </c>
      <c r="F29" s="84">
        <f>D29</f>
        <v>258752.45</v>
      </c>
      <c r="G29" s="84">
        <f t="shared" si="1"/>
        <v>-6131.589999999967</v>
      </c>
    </row>
    <row r="30" spans="1:7" ht="15">
      <c r="A30" s="215" t="s">
        <v>42</v>
      </c>
      <c r="B30" s="34" t="s">
        <v>421</v>
      </c>
      <c r="C30" s="290" t="s">
        <v>408</v>
      </c>
      <c r="D30" s="84">
        <v>463748.65</v>
      </c>
      <c r="E30" s="84">
        <v>464729.66</v>
      </c>
      <c r="F30" s="84">
        <v>5360.93</v>
      </c>
      <c r="G30" s="84">
        <f t="shared" si="1"/>
        <v>-981.0099999999511</v>
      </c>
    </row>
    <row r="31" spans="1:7" ht="15">
      <c r="A31" s="215" t="s">
        <v>41</v>
      </c>
      <c r="B31" s="34" t="s">
        <v>43</v>
      </c>
      <c r="C31" s="289" t="s">
        <v>407</v>
      </c>
      <c r="D31" s="84">
        <v>587146.54</v>
      </c>
      <c r="E31" s="84">
        <v>577396.14</v>
      </c>
      <c r="F31" s="84">
        <f>D31</f>
        <v>587146.54</v>
      </c>
      <c r="G31" s="84">
        <f t="shared" si="1"/>
        <v>9750.400000000023</v>
      </c>
    </row>
    <row r="32" spans="1:10" s="102" customFormat="1" ht="21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  <c r="J32" s="101"/>
    </row>
    <row r="33" spans="1:9" s="67" customFormat="1" ht="15.75" thickBot="1">
      <c r="A33" s="391" t="s">
        <v>410</v>
      </c>
      <c r="B33" s="392"/>
      <c r="C33" s="392"/>
      <c r="D33" s="65">
        <v>303535.16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G14+E25-F25</f>
        <v>168818.6712</v>
      </c>
      <c r="H35" s="62"/>
      <c r="I35" s="62"/>
    </row>
    <row r="36" spans="1:9" s="67" customFormat="1" ht="15">
      <c r="A36" s="68"/>
      <c r="B36" s="68"/>
      <c r="C36" s="68"/>
      <c r="D36" s="40"/>
      <c r="E36" s="66"/>
      <c r="F36" s="66"/>
      <c r="G36" s="40"/>
      <c r="H36" s="62"/>
      <c r="I36" s="62"/>
    </row>
    <row r="37" spans="1:9" ht="26.25" customHeight="1">
      <c r="A37" s="463" t="s">
        <v>44</v>
      </c>
      <c r="B37" s="463"/>
      <c r="C37" s="463"/>
      <c r="D37" s="463"/>
      <c r="E37" s="463"/>
      <c r="F37" s="463"/>
      <c r="G37" s="463"/>
      <c r="H37" s="463"/>
      <c r="I37" s="463"/>
    </row>
    <row r="38" ht="3.75" customHeight="1"/>
    <row r="39" spans="1:7" s="172" customFormat="1" ht="28.5" customHeight="1">
      <c r="A39" s="105" t="s">
        <v>11</v>
      </c>
      <c r="B39" s="401" t="s">
        <v>45</v>
      </c>
      <c r="C39" s="420"/>
      <c r="D39" s="105" t="s">
        <v>165</v>
      </c>
      <c r="E39" s="105" t="s">
        <v>164</v>
      </c>
      <c r="F39" s="401" t="s">
        <v>46</v>
      </c>
      <c r="G39" s="420"/>
    </row>
    <row r="40" spans="1:7" s="115" customFormat="1" ht="13.5" customHeight="1">
      <c r="A40" s="109" t="s">
        <v>47</v>
      </c>
      <c r="B40" s="403" t="s">
        <v>111</v>
      </c>
      <c r="C40" s="425"/>
      <c r="D40" s="111"/>
      <c r="E40" s="111"/>
      <c r="F40" s="430">
        <f>SUM(F41:L44)</f>
        <v>61279.2729</v>
      </c>
      <c r="G40" s="419"/>
    </row>
    <row r="41" spans="1:9" s="115" customFormat="1" ht="15">
      <c r="A41" s="34" t="s">
        <v>16</v>
      </c>
      <c r="B41" s="413" t="s">
        <v>376</v>
      </c>
      <c r="C41" s="423"/>
      <c r="D41" s="349" t="s">
        <v>236</v>
      </c>
      <c r="E41" s="349">
        <v>1</v>
      </c>
      <c r="F41" s="451">
        <v>35770</v>
      </c>
      <c r="G41" s="452"/>
      <c r="H41" s="35"/>
      <c r="I41" s="35"/>
    </row>
    <row r="42" spans="1:9" s="115" customFormat="1" ht="15">
      <c r="A42" s="34" t="s">
        <v>18</v>
      </c>
      <c r="B42" s="382" t="s">
        <v>714</v>
      </c>
      <c r="C42" s="432"/>
      <c r="D42" s="119"/>
      <c r="E42" s="153"/>
      <c r="F42" s="424">
        <v>25000</v>
      </c>
      <c r="G42" s="424"/>
      <c r="H42" s="35"/>
      <c r="I42" s="35"/>
    </row>
    <row r="43" spans="1:9" s="115" customFormat="1" ht="15">
      <c r="A43" s="34" t="s">
        <v>20</v>
      </c>
      <c r="B43" s="382"/>
      <c r="C43" s="432"/>
      <c r="D43" s="119"/>
      <c r="E43" s="153"/>
      <c r="F43" s="424"/>
      <c r="G43" s="424"/>
      <c r="H43" s="35"/>
      <c r="I43" s="35"/>
    </row>
    <row r="44" spans="1:9" s="67" customFormat="1" ht="15">
      <c r="A44" s="34" t="s">
        <v>22</v>
      </c>
      <c r="B44" s="149" t="s">
        <v>191</v>
      </c>
      <c r="C44" s="150"/>
      <c r="D44" s="119"/>
      <c r="E44" s="119"/>
      <c r="F44" s="429">
        <f>E25*1%</f>
        <v>509.2729</v>
      </c>
      <c r="G44" s="429"/>
      <c r="H44" s="35"/>
      <c r="I44" s="35"/>
    </row>
    <row r="45" spans="1:9" s="67" customFormat="1" ht="11.25" customHeight="1">
      <c r="A45" s="169"/>
      <c r="B45" s="180"/>
      <c r="C45" s="180"/>
      <c r="D45" s="216"/>
      <c r="E45" s="216"/>
      <c r="F45" s="181"/>
      <c r="G45" s="181"/>
      <c r="H45" s="35"/>
      <c r="I45" s="35"/>
    </row>
    <row r="46" spans="1:9" s="67" customFormat="1" ht="15">
      <c r="A46" s="67" t="s">
        <v>55</v>
      </c>
      <c r="C46" s="67" t="s">
        <v>49</v>
      </c>
      <c r="F46" s="67" t="s">
        <v>90</v>
      </c>
      <c r="H46" s="35"/>
      <c r="I46" s="35"/>
    </row>
    <row r="47" spans="6:9" s="67" customFormat="1" ht="15">
      <c r="F47" s="127" t="s">
        <v>438</v>
      </c>
      <c r="H47" s="35"/>
      <c r="I47" s="35"/>
    </row>
  </sheetData>
  <sheetProtection/>
  <mergeCells count="21">
    <mergeCell ref="A33:C33"/>
    <mergeCell ref="A12:I12"/>
    <mergeCell ref="A32:F32"/>
    <mergeCell ref="B41:C41"/>
    <mergeCell ref="B39:C39"/>
    <mergeCell ref="F40:G40"/>
    <mergeCell ref="A37:I37"/>
    <mergeCell ref="B40:C40"/>
    <mergeCell ref="F44:G44"/>
    <mergeCell ref="F39:G39"/>
    <mergeCell ref="B42:C42"/>
    <mergeCell ref="F42:G42"/>
    <mergeCell ref="F41:G41"/>
    <mergeCell ref="B43:C43"/>
    <mergeCell ref="F43:G43"/>
    <mergeCell ref="A1:I1"/>
    <mergeCell ref="A2:I2"/>
    <mergeCell ref="A5:I5"/>
    <mergeCell ref="A10:I10"/>
    <mergeCell ref="A3:K3"/>
    <mergeCell ref="A11:I1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K52"/>
  <sheetViews>
    <sheetView zoomScalePageLayoutView="0" workbookViewId="0" topLeftCell="A33">
      <selection activeCell="F44" sqref="F44:G47"/>
    </sheetView>
  </sheetViews>
  <sheetFormatPr defaultColWidth="9.140625" defaultRowHeight="15" outlineLevelCol="1"/>
  <cols>
    <col min="1" max="1" width="5.57421875" style="35" customWidth="1"/>
    <col min="2" max="2" width="46.00390625" style="35" customWidth="1"/>
    <col min="3" max="3" width="14.28125" style="35" customWidth="1"/>
    <col min="4" max="5" width="12.7109375" style="35" customWidth="1"/>
    <col min="6" max="6" width="15.14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.7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6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.75" customHeight="1"/>
    <row r="7" spans="1:9" s="67" customFormat="1" ht="16.5" customHeight="1">
      <c r="A7" s="67" t="s">
        <v>2</v>
      </c>
      <c r="F7" s="127" t="s">
        <v>108</v>
      </c>
      <c r="H7" s="67" t="s">
        <v>289</v>
      </c>
      <c r="I7" s="202">
        <v>21.3</v>
      </c>
    </row>
    <row r="8" spans="1:10" s="67" customFormat="1" ht="15">
      <c r="A8" s="67" t="s">
        <v>3</v>
      </c>
      <c r="F8" s="295" t="s">
        <v>467</v>
      </c>
      <c r="H8" s="202">
        <f>618.5-I7</f>
        <v>597.2</v>
      </c>
      <c r="I8" s="202">
        <v>1788.4</v>
      </c>
      <c r="J8" s="202">
        <f>H8+I8+I7</f>
        <v>2406.9000000000005</v>
      </c>
    </row>
    <row r="9" spans="2:7" s="67" customFormat="1" ht="13.5" customHeight="1">
      <c r="B9" s="67" t="s">
        <v>471</v>
      </c>
      <c r="F9" s="295" t="s">
        <v>343</v>
      </c>
      <c r="G9" s="127"/>
    </row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331</v>
      </c>
      <c r="B14" s="64"/>
      <c r="C14" s="64"/>
      <c r="D14" s="69"/>
      <c r="E14" s="70"/>
      <c r="F14" s="70"/>
      <c r="G14" s="145">
        <f>'[1]Пролетарская 40'!$G$35</f>
        <v>104464.7455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9" s="67" customFormat="1" ht="29.25">
      <c r="A17" s="75" t="s">
        <v>14</v>
      </c>
      <c r="B17" s="41" t="s">
        <v>15</v>
      </c>
      <c r="C17" s="136">
        <f>C18+C19+C20+C21</f>
        <v>10.34</v>
      </c>
      <c r="D17" s="76">
        <v>237668.88</v>
      </c>
      <c r="E17" s="76">
        <v>223242.94</v>
      </c>
      <c r="F17" s="76">
        <f aca="true" t="shared" si="0" ref="F17:F24">D17</f>
        <v>237668.88</v>
      </c>
      <c r="G17" s="77">
        <f>D17-E17</f>
        <v>14425.940000000002</v>
      </c>
      <c r="H17" s="78">
        <f>C17</f>
        <v>10.34</v>
      </c>
      <c r="I17" s="168"/>
    </row>
    <row r="18" spans="1:9" s="67" customFormat="1" ht="15">
      <c r="A18" s="81" t="s">
        <v>16</v>
      </c>
      <c r="B18" s="34" t="s">
        <v>17</v>
      </c>
      <c r="C18" s="99">
        <v>3.46</v>
      </c>
      <c r="D18" s="83">
        <f>D17*I18</f>
        <v>79529.43179883946</v>
      </c>
      <c r="E18" s="83">
        <f>E17*I18</f>
        <v>74702.18301740813</v>
      </c>
      <c r="F18" s="83">
        <f t="shared" si="0"/>
        <v>79529.43179883946</v>
      </c>
      <c r="G18" s="84">
        <f>D18-E18</f>
        <v>4827.248781431335</v>
      </c>
      <c r="H18" s="78">
        <f>C18</f>
        <v>3.46</v>
      </c>
      <c r="I18" s="67">
        <f>H18/H17</f>
        <v>0.33462282398452614</v>
      </c>
    </row>
    <row r="19" spans="1:9" s="67" customFormat="1" ht="15">
      <c r="A19" s="81" t="s">
        <v>18</v>
      </c>
      <c r="B19" s="34" t="s">
        <v>19</v>
      </c>
      <c r="C19" s="99">
        <v>1.69</v>
      </c>
      <c r="D19" s="83">
        <f>D17*I19</f>
        <v>38845.30050290135</v>
      </c>
      <c r="E19" s="83">
        <f>E17*I19</f>
        <v>36487.48245647969</v>
      </c>
      <c r="F19" s="83">
        <f t="shared" si="0"/>
        <v>38845.30050290135</v>
      </c>
      <c r="G19" s="84">
        <f>D19-E19</f>
        <v>2357.818046421664</v>
      </c>
      <c r="H19" s="78">
        <f>C19</f>
        <v>1.69</v>
      </c>
      <c r="I19" s="67">
        <f>H19/H17</f>
        <v>0.1634429400386847</v>
      </c>
    </row>
    <row r="20" spans="1:9" s="67" customFormat="1" ht="15">
      <c r="A20" s="81" t="s">
        <v>20</v>
      </c>
      <c r="B20" s="34" t="s">
        <v>21</v>
      </c>
      <c r="C20" s="99">
        <v>2.15</v>
      </c>
      <c r="D20" s="83">
        <f>D17*I20</f>
        <v>49418.57756286267</v>
      </c>
      <c r="E20" s="83">
        <f>E17*I20</f>
        <v>46418.986557059965</v>
      </c>
      <c r="F20" s="83">
        <f t="shared" si="0"/>
        <v>49418.57756286267</v>
      </c>
      <c r="G20" s="84">
        <f>D20-E20</f>
        <v>2999.5910058027075</v>
      </c>
      <c r="H20" s="78">
        <f>C20</f>
        <v>2.15</v>
      </c>
      <c r="I20" s="67">
        <f>H20/H17</f>
        <v>0.2079303675048356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69875.57013539653</v>
      </c>
      <c r="E21" s="83">
        <f>E17*I21</f>
        <v>65634.28796905222</v>
      </c>
      <c r="F21" s="83">
        <f t="shared" si="0"/>
        <v>69875.57013539653</v>
      </c>
      <c r="G21" s="84">
        <f>D21-E21</f>
        <v>4241.282166344303</v>
      </c>
      <c r="H21" s="78">
        <f>C21</f>
        <v>3.04</v>
      </c>
      <c r="I21" s="67">
        <f>H21/H17</f>
        <v>0.2940038684719536</v>
      </c>
    </row>
    <row r="22" spans="1:9" ht="15">
      <c r="A22" s="41" t="s">
        <v>25</v>
      </c>
      <c r="B22" s="41" t="s">
        <v>26</v>
      </c>
      <c r="C22" s="142">
        <v>0</v>
      </c>
      <c r="D22" s="77">
        <v>0</v>
      </c>
      <c r="E22" s="77">
        <v>0</v>
      </c>
      <c r="F22" s="76">
        <f t="shared" si="0"/>
        <v>0</v>
      </c>
      <c r="G22" s="77">
        <f aca="true" t="shared" si="1" ref="G22:G31">D22-E22</f>
        <v>0</v>
      </c>
      <c r="H22" s="39"/>
      <c r="I22" s="39"/>
    </row>
    <row r="23" spans="1:9" ht="15">
      <c r="A23" s="41" t="s">
        <v>27</v>
      </c>
      <c r="B23" s="41" t="s">
        <v>28</v>
      </c>
      <c r="C23" s="142">
        <v>0</v>
      </c>
      <c r="D23" s="77">
        <v>0</v>
      </c>
      <c r="E23" s="77">
        <v>0</v>
      </c>
      <c r="F23" s="77">
        <f t="shared" si="0"/>
        <v>0</v>
      </c>
      <c r="G23" s="77">
        <f t="shared" si="1"/>
        <v>0</v>
      </c>
      <c r="H23" s="39"/>
      <c r="I23" s="39"/>
    </row>
    <row r="24" spans="1:9" ht="15">
      <c r="A24" s="41" t="s">
        <v>29</v>
      </c>
      <c r="B24" s="41" t="s">
        <v>30</v>
      </c>
      <c r="C24" s="142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  <c r="H24" s="39"/>
      <c r="I24" s="39"/>
    </row>
    <row r="25" spans="1:9" ht="15">
      <c r="A25" s="41" t="s">
        <v>31</v>
      </c>
      <c r="B25" s="41" t="s">
        <v>116</v>
      </c>
      <c r="C25" s="142">
        <v>2.06</v>
      </c>
      <c r="D25" s="77">
        <v>44693.68</v>
      </c>
      <c r="E25" s="77">
        <v>43363.1</v>
      </c>
      <c r="F25" s="87">
        <f>F43</f>
        <v>49653.631</v>
      </c>
      <c r="G25" s="77">
        <f t="shared" si="1"/>
        <v>1330.5800000000017</v>
      </c>
      <c r="H25" s="39"/>
      <c r="I25" s="39"/>
    </row>
    <row r="26" spans="1:9" ht="15">
      <c r="A26" s="214">
        <v>6</v>
      </c>
      <c r="B26" s="86" t="s">
        <v>163</v>
      </c>
      <c r="C26" s="136" t="s">
        <v>334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39"/>
      <c r="I26" s="39"/>
    </row>
    <row r="27" spans="1:9" ht="15">
      <c r="A27" s="214">
        <f>A26+1</f>
        <v>7</v>
      </c>
      <c r="B27" s="41" t="s">
        <v>36</v>
      </c>
      <c r="C27" s="143"/>
      <c r="D27" s="77">
        <f>SUM(D28:D31)</f>
        <v>1059241.13</v>
      </c>
      <c r="E27" s="77">
        <f>SUM(E28:E31)</f>
        <v>977068.4099999999</v>
      </c>
      <c r="F27" s="77">
        <f>SUM(F28:F31)</f>
        <v>1059241.13</v>
      </c>
      <c r="G27" s="77">
        <f t="shared" si="1"/>
        <v>82172.71999999997</v>
      </c>
      <c r="H27" s="39"/>
      <c r="I27" s="39"/>
    </row>
    <row r="28" spans="1:7" ht="15">
      <c r="A28" s="215" t="s">
        <v>37</v>
      </c>
      <c r="B28" s="34" t="s">
        <v>93</v>
      </c>
      <c r="C28" s="289" t="s">
        <v>406</v>
      </c>
      <c r="D28" s="84">
        <v>19116.72</v>
      </c>
      <c r="E28" s="84">
        <v>22962.71</v>
      </c>
      <c r="F28" s="84">
        <f>D28</f>
        <v>19116.72</v>
      </c>
      <c r="G28" s="84">
        <f t="shared" si="1"/>
        <v>-3845.989999999998</v>
      </c>
    </row>
    <row r="29" spans="1:7" ht="15">
      <c r="A29" s="215" t="s">
        <v>39</v>
      </c>
      <c r="B29" s="34" t="s">
        <v>138</v>
      </c>
      <c r="C29" s="289" t="s">
        <v>409</v>
      </c>
      <c r="D29" s="84">
        <v>181325.35</v>
      </c>
      <c r="E29" s="84">
        <v>174223.64</v>
      </c>
      <c r="F29" s="84">
        <f>D29</f>
        <v>181325.35</v>
      </c>
      <c r="G29" s="84">
        <f t="shared" si="1"/>
        <v>7101.709999999992</v>
      </c>
    </row>
    <row r="30" spans="1:7" ht="15">
      <c r="A30" s="215" t="s">
        <v>42</v>
      </c>
      <c r="B30" s="34" t="s">
        <v>421</v>
      </c>
      <c r="C30" s="290" t="s">
        <v>408</v>
      </c>
      <c r="D30" s="84">
        <v>332935.57</v>
      </c>
      <c r="E30" s="84">
        <v>305175.61</v>
      </c>
      <c r="F30" s="84">
        <f>D30</f>
        <v>332935.57</v>
      </c>
      <c r="G30" s="84">
        <f t="shared" si="1"/>
        <v>27759.96000000002</v>
      </c>
    </row>
    <row r="31" spans="1:7" ht="15">
      <c r="A31" s="215" t="s">
        <v>41</v>
      </c>
      <c r="B31" s="34" t="s">
        <v>43</v>
      </c>
      <c r="C31" s="289" t="s">
        <v>407</v>
      </c>
      <c r="D31" s="84">
        <v>525863.49</v>
      </c>
      <c r="E31" s="84">
        <v>474706.45</v>
      </c>
      <c r="F31" s="84">
        <f>D31</f>
        <v>525863.49</v>
      </c>
      <c r="G31" s="84">
        <f t="shared" si="1"/>
        <v>51157.03999999998</v>
      </c>
    </row>
    <row r="32" spans="1:10" s="102" customFormat="1" ht="19.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  <c r="J32" s="101"/>
    </row>
    <row r="33" spans="1:9" s="67" customFormat="1" ht="15.75" thickBot="1">
      <c r="A33" s="391" t="s">
        <v>410</v>
      </c>
      <c r="B33" s="392"/>
      <c r="C33" s="392"/>
      <c r="D33" s="65">
        <v>2609230.29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G14+E25-F25</f>
        <v>98174.2145</v>
      </c>
      <c r="H35" s="62"/>
      <c r="I35" s="62"/>
    </row>
    <row r="36" spans="1:9" s="67" customFormat="1" ht="15">
      <c r="A36" s="523" t="s">
        <v>145</v>
      </c>
      <c r="B36" s="523"/>
      <c r="C36" s="68"/>
      <c r="D36" s="40"/>
      <c r="E36" s="66"/>
      <c r="F36" s="66"/>
      <c r="G36" s="40"/>
      <c r="H36" s="62"/>
      <c r="I36" s="62"/>
    </row>
    <row r="37" spans="1:9" s="67" customFormat="1" ht="15">
      <c r="A37" s="519" t="s">
        <v>439</v>
      </c>
      <c r="B37" s="520"/>
      <c r="C37" s="316" t="s">
        <v>147</v>
      </c>
      <c r="D37" s="316" t="s">
        <v>148</v>
      </c>
      <c r="E37" s="317" t="s">
        <v>149</v>
      </c>
      <c r="F37" s="318" t="s">
        <v>150</v>
      </c>
      <c r="G37" s="317" t="s">
        <v>151</v>
      </c>
      <c r="H37" s="62"/>
      <c r="I37" s="62"/>
    </row>
    <row r="38" spans="1:9" s="67" customFormat="1" ht="15">
      <c r="A38" s="521"/>
      <c r="B38" s="522"/>
      <c r="C38" s="298">
        <f>266.7+76.4+146.3+107.8</f>
        <v>597.2</v>
      </c>
      <c r="D38" s="319">
        <f>E38/C38/12</f>
        <v>12.84107083054253</v>
      </c>
      <c r="E38" s="314">
        <f>36953.25+1496.2+17822.94+21769.44+9198.56+4783.86</f>
        <v>92024.25</v>
      </c>
      <c r="F38" s="320">
        <f>33723.33+1496.2+16139.3+5409.12+6786.74-2002.85+3150.46-3150.46</f>
        <v>61551.840000000004</v>
      </c>
      <c r="G38" s="319">
        <f>E38-F38</f>
        <v>30472.409999999996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ht="26.25" customHeight="1">
      <c r="A40" s="463" t="s">
        <v>44</v>
      </c>
      <c r="B40" s="463"/>
      <c r="C40" s="463"/>
      <c r="D40" s="463"/>
      <c r="E40" s="463"/>
      <c r="F40" s="463"/>
      <c r="G40" s="463"/>
      <c r="H40" s="463"/>
      <c r="I40" s="463"/>
    </row>
    <row r="41" ht="3.75" customHeight="1"/>
    <row r="42" spans="1:7" s="172" customFormat="1" ht="28.5" customHeight="1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</row>
    <row r="43" spans="1:7" s="115" customFormat="1" ht="13.5" customHeight="1">
      <c r="A43" s="109" t="s">
        <v>47</v>
      </c>
      <c r="B43" s="403" t="s">
        <v>111</v>
      </c>
      <c r="C43" s="425"/>
      <c r="D43" s="111"/>
      <c r="E43" s="111"/>
      <c r="F43" s="430">
        <f>SUM(F44:L47)</f>
        <v>49653.631</v>
      </c>
      <c r="G43" s="419"/>
    </row>
    <row r="44" spans="1:7" s="115" customFormat="1" ht="13.5" customHeight="1">
      <c r="A44" s="34" t="s">
        <v>16</v>
      </c>
      <c r="B44" s="413" t="s">
        <v>637</v>
      </c>
      <c r="C44" s="442"/>
      <c r="D44" s="351" t="s">
        <v>638</v>
      </c>
      <c r="E44" s="354">
        <v>1</v>
      </c>
      <c r="F44" s="418">
        <v>4150</v>
      </c>
      <c r="G44" s="418"/>
    </row>
    <row r="45" spans="1:7" s="115" customFormat="1" ht="25.5" customHeight="1">
      <c r="A45" s="34" t="s">
        <v>18</v>
      </c>
      <c r="B45" s="413" t="s">
        <v>390</v>
      </c>
      <c r="C45" s="442"/>
      <c r="D45" s="195" t="s">
        <v>166</v>
      </c>
      <c r="E45" s="153">
        <v>1</v>
      </c>
      <c r="F45" s="418">
        <v>35770</v>
      </c>
      <c r="G45" s="418"/>
    </row>
    <row r="46" spans="1:7" s="115" customFormat="1" ht="15.75" customHeight="1">
      <c r="A46" s="34" t="s">
        <v>20</v>
      </c>
      <c r="B46" s="382" t="s">
        <v>715</v>
      </c>
      <c r="C46" s="432"/>
      <c r="D46" s="195"/>
      <c r="E46" s="153"/>
      <c r="F46" s="424">
        <v>9300</v>
      </c>
      <c r="G46" s="424"/>
    </row>
    <row r="47" spans="1:7" ht="15">
      <c r="A47" s="34" t="s">
        <v>22</v>
      </c>
      <c r="B47" s="149" t="s">
        <v>191</v>
      </c>
      <c r="C47" s="150"/>
      <c r="D47" s="119"/>
      <c r="E47" s="119"/>
      <c r="F47" s="429">
        <f>E25*1%</f>
        <v>433.631</v>
      </c>
      <c r="G47" s="429"/>
    </row>
    <row r="48" spans="1:7" ht="15">
      <c r="A48" s="67"/>
      <c r="B48" s="67"/>
      <c r="C48" s="67"/>
      <c r="D48" s="67"/>
      <c r="E48" s="67"/>
      <c r="F48" s="67"/>
      <c r="G48" s="67"/>
    </row>
    <row r="49" spans="1:7" ht="15">
      <c r="A49" s="67" t="s">
        <v>55</v>
      </c>
      <c r="B49" s="67"/>
      <c r="C49" s="67" t="s">
        <v>49</v>
      </c>
      <c r="D49" s="67"/>
      <c r="E49" s="67"/>
      <c r="F49" s="67" t="s">
        <v>90</v>
      </c>
      <c r="G49" s="67"/>
    </row>
    <row r="50" spans="1:7" ht="15">
      <c r="A50" s="67"/>
      <c r="B50" s="67"/>
      <c r="C50" s="67"/>
      <c r="D50" s="67"/>
      <c r="E50" s="67"/>
      <c r="F50" s="127" t="s">
        <v>438</v>
      </c>
      <c r="G50" s="67"/>
    </row>
    <row r="51" spans="1:7" ht="15">
      <c r="A51" s="67" t="s">
        <v>50</v>
      </c>
      <c r="B51" s="67"/>
      <c r="C51" s="67"/>
      <c r="D51" s="67"/>
      <c r="E51" s="67"/>
      <c r="F51" s="67"/>
      <c r="G51" s="67"/>
    </row>
    <row r="52" spans="1:7" ht="15">
      <c r="A52" s="67"/>
      <c r="B52" s="67"/>
      <c r="C52" s="129" t="s">
        <v>51</v>
      </c>
      <c r="D52" s="67"/>
      <c r="E52" s="129"/>
      <c r="F52" s="129"/>
      <c r="G52" s="129"/>
    </row>
  </sheetData>
  <sheetProtection/>
  <mergeCells count="23">
    <mergeCell ref="A1:I1"/>
    <mergeCell ref="A2:I2"/>
    <mergeCell ref="A5:I5"/>
    <mergeCell ref="A10:I10"/>
    <mergeCell ref="A3:K3"/>
    <mergeCell ref="A40:I40"/>
    <mergeCell ref="A11:I11"/>
    <mergeCell ref="F47:G47"/>
    <mergeCell ref="F42:G42"/>
    <mergeCell ref="A33:C33"/>
    <mergeCell ref="B44:C44"/>
    <mergeCell ref="A36:B36"/>
    <mergeCell ref="A12:I12"/>
    <mergeCell ref="B45:C45"/>
    <mergeCell ref="F45:G45"/>
    <mergeCell ref="B46:C46"/>
    <mergeCell ref="F46:G46"/>
    <mergeCell ref="F44:G44"/>
    <mergeCell ref="F43:G43"/>
    <mergeCell ref="B42:C42"/>
    <mergeCell ref="B43:C43"/>
    <mergeCell ref="A32:F32"/>
    <mergeCell ref="A37:B38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K49"/>
  <sheetViews>
    <sheetView zoomScalePageLayoutView="0" workbookViewId="0" topLeftCell="A32">
      <selection activeCell="A45" sqref="A45"/>
    </sheetView>
  </sheetViews>
  <sheetFormatPr defaultColWidth="9.140625" defaultRowHeight="15" outlineLevelCol="1"/>
  <cols>
    <col min="1" max="1" width="4.7109375" style="35" customWidth="1"/>
    <col min="2" max="2" width="40.28125" style="35" customWidth="1"/>
    <col min="3" max="3" width="13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" customHeight="1"/>
    <row r="7" spans="1:6" s="67" customFormat="1" ht="16.5" customHeight="1">
      <c r="A7" s="67" t="s">
        <v>2</v>
      </c>
      <c r="F7" s="127" t="s">
        <v>109</v>
      </c>
    </row>
    <row r="8" spans="1:6" s="67" customFormat="1" ht="15">
      <c r="A8" s="67" t="s">
        <v>3</v>
      </c>
      <c r="F8" s="295" t="s">
        <v>110</v>
      </c>
    </row>
    <row r="9" s="67" customFormat="1" ht="6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'[1]Чижевского 4'!$G$36</f>
        <v>-7060.03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'[1]Чижевского 4'!$G$37</f>
        <v>-312003.2998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9" s="67" customFormat="1" ht="29.25">
      <c r="A18" s="75" t="s">
        <v>14</v>
      </c>
      <c r="B18" s="41" t="s">
        <v>15</v>
      </c>
      <c r="C18" s="136">
        <f>C19+C20+C21+C22</f>
        <v>10.34</v>
      </c>
      <c r="D18" s="76">
        <v>177186.24</v>
      </c>
      <c r="E18" s="76">
        <v>172709.19</v>
      </c>
      <c r="F18" s="76">
        <f aca="true" t="shared" si="0" ref="F18:F24">D18</f>
        <v>177186.24</v>
      </c>
      <c r="G18" s="77">
        <f>D18-E18</f>
        <v>4477.049999999988</v>
      </c>
      <c r="H18" s="78">
        <f>C18</f>
        <v>10.34</v>
      </c>
      <c r="I18" s="168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59290.560000000005</v>
      </c>
      <c r="E19" s="83">
        <f>E18*I19</f>
        <v>57792.43688588008</v>
      </c>
      <c r="F19" s="83">
        <f t="shared" si="0"/>
        <v>59290.560000000005</v>
      </c>
      <c r="G19" s="84">
        <f>D19-E19</f>
        <v>1498.1231141199241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28959.839999999997</v>
      </c>
      <c r="E20" s="83">
        <f>E18*I20</f>
        <v>28228.097785299804</v>
      </c>
      <c r="F20" s="83">
        <f t="shared" si="0"/>
        <v>28959.839999999997</v>
      </c>
      <c r="G20" s="84">
        <f>D20-E20</f>
        <v>731.7422147001926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36842.4</v>
      </c>
      <c r="E21" s="83">
        <f>E18*I21</f>
        <v>35911.485348162474</v>
      </c>
      <c r="F21" s="83">
        <f t="shared" si="0"/>
        <v>36842.4</v>
      </c>
      <c r="G21" s="84">
        <f>D21-E21</f>
        <v>930.9146518375273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52093.44</v>
      </c>
      <c r="E22" s="83">
        <f>E18*I22</f>
        <v>50777.16998065764</v>
      </c>
      <c r="F22" s="83">
        <f t="shared" si="0"/>
        <v>52093.44</v>
      </c>
      <c r="G22" s="84">
        <f>D22-E22</f>
        <v>1316.2700193423589</v>
      </c>
      <c r="H22" s="78">
        <f>C22</f>
        <v>3.04</v>
      </c>
      <c r="I22" s="67">
        <f>H22/H18</f>
        <v>0.2940038684719536</v>
      </c>
    </row>
    <row r="23" spans="1:9" ht="15">
      <c r="A23" s="41" t="s">
        <v>25</v>
      </c>
      <c r="B23" s="41" t="s">
        <v>26</v>
      </c>
      <c r="C23" s="142">
        <v>0</v>
      </c>
      <c r="D23" s="77">
        <v>0</v>
      </c>
      <c r="E23" s="77">
        <v>0</v>
      </c>
      <c r="F23" s="76">
        <f t="shared" si="0"/>
        <v>0</v>
      </c>
      <c r="G23" s="77">
        <f aca="true" t="shared" si="1" ref="G23:G32">D23-E23</f>
        <v>0</v>
      </c>
      <c r="H23" s="39"/>
      <c r="I23" s="39"/>
    </row>
    <row r="24" spans="1:9" ht="15">
      <c r="A24" s="41" t="s">
        <v>27</v>
      </c>
      <c r="B24" s="41" t="s">
        <v>28</v>
      </c>
      <c r="C24" s="142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  <c r="H24" s="39"/>
      <c r="I24" s="39"/>
    </row>
    <row r="25" spans="1:9" ht="15">
      <c r="A25" s="41" t="s">
        <v>29</v>
      </c>
      <c r="B25" s="41" t="s">
        <v>92</v>
      </c>
      <c r="C25" s="142">
        <v>0</v>
      </c>
      <c r="D25" s="77">
        <v>0</v>
      </c>
      <c r="E25" s="77">
        <v>0</v>
      </c>
      <c r="F25" s="77">
        <v>0</v>
      </c>
      <c r="G25" s="77">
        <f t="shared" si="1"/>
        <v>0</v>
      </c>
      <c r="H25" s="39"/>
      <c r="I25" s="39"/>
    </row>
    <row r="26" spans="1:9" ht="15">
      <c r="A26" s="41" t="s">
        <v>31</v>
      </c>
      <c r="B26" s="41" t="s">
        <v>116</v>
      </c>
      <c r="C26" s="142">
        <v>3</v>
      </c>
      <c r="D26" s="77">
        <v>51408</v>
      </c>
      <c r="E26" s="77">
        <v>50109.09</v>
      </c>
      <c r="F26" s="87">
        <f>F42</f>
        <v>2151.0909</v>
      </c>
      <c r="G26" s="77">
        <f t="shared" si="1"/>
        <v>1298.9100000000035</v>
      </c>
      <c r="H26" s="39"/>
      <c r="I26" s="39"/>
    </row>
    <row r="27" spans="1:9" ht="15">
      <c r="A27" s="214">
        <v>6</v>
      </c>
      <c r="B27" s="86" t="s">
        <v>163</v>
      </c>
      <c r="C27" s="136">
        <v>0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>
      <c r="A28" s="214">
        <f>A27+1</f>
        <v>7</v>
      </c>
      <c r="B28" s="41" t="s">
        <v>36</v>
      </c>
      <c r="C28" s="143"/>
      <c r="D28" s="77">
        <f>SUM(D29:D32)</f>
        <v>892418.64</v>
      </c>
      <c r="E28" s="77">
        <f>SUM(E29:E32)</f>
        <v>821974.67</v>
      </c>
      <c r="F28" s="77">
        <f>SUM(F29:F32)</f>
        <v>892418.64</v>
      </c>
      <c r="G28" s="77">
        <f t="shared" si="1"/>
        <v>70443.96999999997</v>
      </c>
      <c r="H28" s="39"/>
      <c r="I28" s="39"/>
    </row>
    <row r="29" spans="1:7" ht="15">
      <c r="A29" s="215" t="s">
        <v>37</v>
      </c>
      <c r="B29" s="34" t="s">
        <v>93</v>
      </c>
      <c r="C29" s="289" t="s">
        <v>406</v>
      </c>
      <c r="D29" s="84">
        <v>13787.91</v>
      </c>
      <c r="E29" s="84">
        <v>13416.74</v>
      </c>
      <c r="F29" s="84">
        <f>D29</f>
        <v>13787.91</v>
      </c>
      <c r="G29" s="84">
        <f t="shared" si="1"/>
        <v>371.1700000000001</v>
      </c>
    </row>
    <row r="30" spans="1:7" ht="15">
      <c r="A30" s="215" t="s">
        <v>39</v>
      </c>
      <c r="B30" s="34" t="s">
        <v>138</v>
      </c>
      <c r="C30" s="289" t="s">
        <v>409</v>
      </c>
      <c r="D30" s="84">
        <v>126539.58</v>
      </c>
      <c r="E30" s="84">
        <v>104446.95</v>
      </c>
      <c r="F30" s="84">
        <f>D30</f>
        <v>126539.58</v>
      </c>
      <c r="G30" s="84">
        <f t="shared" si="1"/>
        <v>22092.630000000005</v>
      </c>
    </row>
    <row r="31" spans="1:7" ht="15">
      <c r="A31" s="215" t="s">
        <v>42</v>
      </c>
      <c r="B31" s="34" t="s">
        <v>421</v>
      </c>
      <c r="C31" s="290" t="s">
        <v>408</v>
      </c>
      <c r="D31" s="84">
        <v>197020.02</v>
      </c>
      <c r="E31" s="84">
        <v>164307.06</v>
      </c>
      <c r="F31" s="84">
        <f>D31</f>
        <v>197020.02</v>
      </c>
      <c r="G31" s="84">
        <f t="shared" si="1"/>
        <v>32712.959999999992</v>
      </c>
    </row>
    <row r="32" spans="1:7" ht="15">
      <c r="A32" s="215" t="s">
        <v>41</v>
      </c>
      <c r="B32" s="34" t="s">
        <v>43</v>
      </c>
      <c r="C32" s="289" t="s">
        <v>407</v>
      </c>
      <c r="D32" s="84">
        <v>555071.13</v>
      </c>
      <c r="E32" s="84">
        <v>539803.92</v>
      </c>
      <c r="F32" s="84">
        <f>D32</f>
        <v>555071.13</v>
      </c>
      <c r="G32" s="84">
        <f t="shared" si="1"/>
        <v>15267.209999999963</v>
      </c>
    </row>
    <row r="33" spans="1:10" s="102" customFormat="1" ht="5.25" customHeight="1" thickBot="1">
      <c r="A33" s="104"/>
      <c r="B33" s="104"/>
      <c r="C33" s="104"/>
      <c r="D33" s="101"/>
      <c r="E33" s="101"/>
      <c r="F33" s="10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265291.07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468</v>
      </c>
      <c r="B36" s="64"/>
      <c r="C36" s="64"/>
      <c r="D36" s="69"/>
      <c r="E36" s="70"/>
      <c r="F36" s="70"/>
      <c r="G36" s="145">
        <f>G14+E25-F25</f>
        <v>-7060.03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-264045.30069999996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25.5" customHeight="1">
      <c r="A39" s="463" t="s">
        <v>44</v>
      </c>
      <c r="B39" s="463"/>
      <c r="C39" s="463"/>
      <c r="D39" s="463"/>
      <c r="E39" s="463"/>
      <c r="F39" s="463"/>
      <c r="G39" s="463"/>
      <c r="H39" s="463"/>
      <c r="I39" s="463"/>
    </row>
    <row r="41" spans="1:9" ht="28.5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20"/>
      <c r="H41" s="172"/>
      <c r="I41" s="172"/>
    </row>
    <row r="42" spans="1:9" s="172" customFormat="1" ht="15">
      <c r="A42" s="109" t="s">
        <v>47</v>
      </c>
      <c r="B42" s="403" t="s">
        <v>111</v>
      </c>
      <c r="C42" s="425"/>
      <c r="D42" s="111"/>
      <c r="E42" s="111"/>
      <c r="F42" s="430">
        <f>SUM(F43:L44)</f>
        <v>2151.0909</v>
      </c>
      <c r="G42" s="419"/>
      <c r="H42" s="115"/>
      <c r="I42" s="115"/>
    </row>
    <row r="43" spans="1:7" ht="29.25" customHeight="1">
      <c r="A43" s="34" t="s">
        <v>16</v>
      </c>
      <c r="B43" s="413" t="s">
        <v>629</v>
      </c>
      <c r="C43" s="423"/>
      <c r="D43" s="119"/>
      <c r="E43" s="349" t="s">
        <v>239</v>
      </c>
      <c r="F43" s="451">
        <v>1650</v>
      </c>
      <c r="G43" s="452"/>
    </row>
    <row r="44" spans="1:7" ht="13.5" customHeight="1">
      <c r="A44" s="34" t="s">
        <v>18</v>
      </c>
      <c r="B44" s="149" t="s">
        <v>191</v>
      </c>
      <c r="C44" s="150"/>
      <c r="D44" s="119"/>
      <c r="E44" s="119"/>
      <c r="F44" s="429">
        <f>E26*1%</f>
        <v>501.0909</v>
      </c>
      <c r="G44" s="429"/>
    </row>
    <row r="45" spans="8:9" s="67" customFormat="1" ht="6" customHeight="1">
      <c r="H45" s="35"/>
      <c r="I45" s="35"/>
    </row>
    <row r="46" spans="1:9" s="67" customFormat="1" ht="15">
      <c r="A46" s="67" t="s">
        <v>55</v>
      </c>
      <c r="C46" s="67" t="s">
        <v>49</v>
      </c>
      <c r="F46" s="67" t="s">
        <v>90</v>
      </c>
      <c r="H46" s="35"/>
      <c r="I46" s="35"/>
    </row>
    <row r="47" spans="6:9" s="67" customFormat="1" ht="12.75" customHeight="1">
      <c r="F47" s="127" t="s">
        <v>438</v>
      </c>
      <c r="H47" s="35"/>
      <c r="I47" s="35"/>
    </row>
    <row r="48" spans="1:9" s="67" customFormat="1" ht="15">
      <c r="A48" s="67" t="s">
        <v>50</v>
      </c>
      <c r="H48" s="35"/>
      <c r="I48" s="35"/>
    </row>
    <row r="49" spans="3:9" s="67" customFormat="1" ht="15">
      <c r="C49" s="129" t="s">
        <v>51</v>
      </c>
      <c r="E49" s="129"/>
      <c r="F49" s="129"/>
      <c r="G49" s="129"/>
      <c r="H49" s="35"/>
      <c r="I49" s="35"/>
    </row>
    <row r="50" s="67" customFormat="1" ht="15"/>
    <row r="51" s="67" customFormat="1" ht="15"/>
  </sheetData>
  <sheetProtection/>
  <mergeCells count="16">
    <mergeCell ref="F42:G42"/>
    <mergeCell ref="B42:C42"/>
    <mergeCell ref="F44:G44"/>
    <mergeCell ref="F43:G43"/>
    <mergeCell ref="B43:C43"/>
    <mergeCell ref="A34:C34"/>
    <mergeCell ref="A1:I1"/>
    <mergeCell ref="A2:I2"/>
    <mergeCell ref="A5:I5"/>
    <mergeCell ref="A10:I10"/>
    <mergeCell ref="A39:I39"/>
    <mergeCell ref="B41:C41"/>
    <mergeCell ref="F41:G41"/>
    <mergeCell ref="A11:I11"/>
    <mergeCell ref="A3:K3"/>
    <mergeCell ref="A12:I1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zoomScalePageLayoutView="0" workbookViewId="0" topLeftCell="A37">
      <selection activeCell="B47" sqref="B47:C47"/>
    </sheetView>
  </sheetViews>
  <sheetFormatPr defaultColWidth="9.140625" defaultRowHeight="15" outlineLevelCol="1"/>
  <cols>
    <col min="1" max="1" width="4.7109375" style="35" customWidth="1"/>
    <col min="2" max="2" width="47.8515625" style="35" customWidth="1"/>
    <col min="3" max="3" width="13.00390625" style="35" customWidth="1"/>
    <col min="4" max="5" width="12.7109375" style="35" customWidth="1"/>
    <col min="6" max="6" width="15.281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" customHeight="1"/>
    <row r="7" spans="1:6" s="67" customFormat="1" ht="16.5" customHeight="1">
      <c r="A7" s="67" t="s">
        <v>2</v>
      </c>
      <c r="F7" s="127" t="s">
        <v>126</v>
      </c>
    </row>
    <row r="8" spans="1:11" s="67" customFormat="1" ht="15">
      <c r="A8" s="67" t="s">
        <v>3</v>
      </c>
      <c r="F8" s="295" t="s">
        <v>469</v>
      </c>
      <c r="I8" s="202">
        <v>16</v>
      </c>
      <c r="J8" s="202">
        <v>3826.5</v>
      </c>
      <c r="K8" s="202">
        <f>I8+J8</f>
        <v>3842.5</v>
      </c>
    </row>
    <row r="9" s="67" customFormat="1" ht="6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'[1]Билибина 10'!$G$36</f>
        <v>13787.78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'[1]Билибина 10'!$G$37</f>
        <v>85293.76199999997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9" s="67" customFormat="1" ht="15" customHeight="1">
      <c r="A18" s="75" t="s">
        <v>14</v>
      </c>
      <c r="B18" s="41" t="s">
        <v>15</v>
      </c>
      <c r="C18" s="136">
        <f>C19+C20+C21+C22</f>
        <v>10.34</v>
      </c>
      <c r="D18" s="76">
        <v>476741.85</v>
      </c>
      <c r="E18" s="76">
        <v>482752.04</v>
      </c>
      <c r="F18" s="76">
        <f aca="true" t="shared" si="0" ref="F18:F24">D18</f>
        <v>476741.85</v>
      </c>
      <c r="G18" s="77">
        <f>D18-E18</f>
        <v>-6010.190000000002</v>
      </c>
      <c r="H18" s="78">
        <f>C18</f>
        <v>10.34</v>
      </c>
      <c r="I18" s="168"/>
    </row>
    <row r="19" spans="1:9" s="67" customFormat="1" ht="15" customHeight="1">
      <c r="A19" s="81" t="s">
        <v>16</v>
      </c>
      <c r="B19" s="34" t="s">
        <v>17</v>
      </c>
      <c r="C19" s="99">
        <v>3.46</v>
      </c>
      <c r="D19" s="83">
        <f>D18*I19</f>
        <v>159528.70415860735</v>
      </c>
      <c r="E19" s="83">
        <f>E18*I19</f>
        <v>161539.85090909092</v>
      </c>
      <c r="F19" s="83">
        <f t="shared" si="0"/>
        <v>159528.70415860735</v>
      </c>
      <c r="G19" s="84">
        <f>D19-E19</f>
        <v>-2011.1467504835746</v>
      </c>
      <c r="H19" s="78">
        <f>C19</f>
        <v>3.46</v>
      </c>
      <c r="I19" s="67">
        <f>H19/H18</f>
        <v>0.33462282398452614</v>
      </c>
    </row>
    <row r="20" spans="1:9" s="67" customFormat="1" ht="15" customHeight="1">
      <c r="A20" s="81" t="s">
        <v>18</v>
      </c>
      <c r="B20" s="34" t="s">
        <v>19</v>
      </c>
      <c r="C20" s="99">
        <v>1.69</v>
      </c>
      <c r="D20" s="83">
        <f>D18*I20</f>
        <v>77920.08960348161</v>
      </c>
      <c r="E20" s="83">
        <f>E18*I20</f>
        <v>78902.41272727272</v>
      </c>
      <c r="F20" s="83">
        <f t="shared" si="0"/>
        <v>77920.08960348161</v>
      </c>
      <c r="G20" s="84">
        <f>D20-E20</f>
        <v>-982.3231237911095</v>
      </c>
      <c r="H20" s="78">
        <f>C20</f>
        <v>1.69</v>
      </c>
      <c r="I20" s="67">
        <f>H20/H18</f>
        <v>0.1634429400386847</v>
      </c>
    </row>
    <row r="21" spans="1:9" s="67" customFormat="1" ht="15" customHeight="1">
      <c r="A21" s="81" t="s">
        <v>20</v>
      </c>
      <c r="B21" s="34" t="s">
        <v>21</v>
      </c>
      <c r="C21" s="99">
        <v>2.15</v>
      </c>
      <c r="D21" s="83">
        <f>D18*I21</f>
        <v>99129.1080754352</v>
      </c>
      <c r="E21" s="83">
        <f>E18*I21</f>
        <v>100378.80909090908</v>
      </c>
      <c r="F21" s="83">
        <f t="shared" si="0"/>
        <v>99129.1080754352</v>
      </c>
      <c r="G21" s="84">
        <f>D21-E21</f>
        <v>-1249.7010154738819</v>
      </c>
      <c r="H21" s="78">
        <f>C21</f>
        <v>2.15</v>
      </c>
      <c r="I21" s="67">
        <f>H21/H18</f>
        <v>0.2079303675048356</v>
      </c>
    </row>
    <row r="22" spans="1:9" s="67" customFormat="1" ht="15" customHeight="1">
      <c r="A22" s="81" t="s">
        <v>22</v>
      </c>
      <c r="B22" s="34" t="s">
        <v>23</v>
      </c>
      <c r="C22" s="99">
        <v>3.04</v>
      </c>
      <c r="D22" s="83">
        <f>D18*I22</f>
        <v>140163.94816247583</v>
      </c>
      <c r="E22" s="83">
        <f>E18*I22</f>
        <v>141930.96727272728</v>
      </c>
      <c r="F22" s="83">
        <f t="shared" si="0"/>
        <v>140163.94816247583</v>
      </c>
      <c r="G22" s="84">
        <f>D22-E22</f>
        <v>-1767.019110251451</v>
      </c>
      <c r="H22" s="78">
        <f>C22</f>
        <v>3.04</v>
      </c>
      <c r="I22" s="67">
        <f>H22/H18</f>
        <v>0.2940038684719536</v>
      </c>
    </row>
    <row r="23" spans="1:9" ht="15" customHeight="1">
      <c r="A23" s="41" t="s">
        <v>25</v>
      </c>
      <c r="B23" s="41" t="s">
        <v>26</v>
      </c>
      <c r="C23" s="142">
        <v>3.86</v>
      </c>
      <c r="D23" s="77">
        <v>176474.4</v>
      </c>
      <c r="E23" s="77">
        <v>178605.94</v>
      </c>
      <c r="F23" s="76">
        <f t="shared" si="0"/>
        <v>176474.4</v>
      </c>
      <c r="G23" s="77">
        <f aca="true" t="shared" si="1" ref="G23:G33">D23-E23</f>
        <v>-2131.540000000008</v>
      </c>
      <c r="H23" s="39"/>
      <c r="I23" s="39"/>
    </row>
    <row r="24" spans="1:9" ht="15" customHeight="1">
      <c r="A24" s="41" t="s">
        <v>27</v>
      </c>
      <c r="B24" s="41" t="s">
        <v>451</v>
      </c>
      <c r="C24" s="142">
        <v>125</v>
      </c>
      <c r="D24" s="77">
        <v>37000</v>
      </c>
      <c r="E24" s="77">
        <v>35752.52</v>
      </c>
      <c r="F24" s="77">
        <f t="shared" si="0"/>
        <v>37000</v>
      </c>
      <c r="G24" s="77">
        <f t="shared" si="1"/>
        <v>1247.4800000000032</v>
      </c>
      <c r="H24" s="39"/>
      <c r="I24" s="39"/>
    </row>
    <row r="25" spans="1:9" ht="15" customHeight="1">
      <c r="A25" s="41" t="s">
        <v>29</v>
      </c>
      <c r="B25" s="41" t="s">
        <v>172</v>
      </c>
      <c r="C25" s="142">
        <v>1.12</v>
      </c>
      <c r="D25" s="77">
        <v>44662.1</v>
      </c>
      <c r="E25" s="77">
        <v>47899.41</v>
      </c>
      <c r="F25" s="77">
        <f>D25</f>
        <v>44662.1</v>
      </c>
      <c r="G25" s="77">
        <f t="shared" si="1"/>
        <v>-3237.310000000005</v>
      </c>
      <c r="H25" s="39"/>
      <c r="I25" s="39"/>
    </row>
    <row r="26" spans="1:9" ht="15" customHeight="1">
      <c r="A26" s="41" t="s">
        <v>31</v>
      </c>
      <c r="B26" s="41" t="s">
        <v>116</v>
      </c>
      <c r="C26" s="142">
        <v>2.06</v>
      </c>
      <c r="D26" s="77">
        <v>94919.32</v>
      </c>
      <c r="E26" s="77">
        <v>96060.81</v>
      </c>
      <c r="F26" s="87">
        <f>F45</f>
        <v>75778.6081</v>
      </c>
      <c r="G26" s="77">
        <f t="shared" si="1"/>
        <v>-1141.4899999999907</v>
      </c>
      <c r="H26" s="39"/>
      <c r="I26" s="39"/>
    </row>
    <row r="27" spans="1:9" ht="15" customHeight="1">
      <c r="A27" s="214">
        <v>6</v>
      </c>
      <c r="B27" s="86" t="s">
        <v>163</v>
      </c>
      <c r="C27" s="136">
        <v>12.54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 customHeight="1">
      <c r="A28" s="214">
        <f>A27+1</f>
        <v>7</v>
      </c>
      <c r="B28" s="41" t="s">
        <v>36</v>
      </c>
      <c r="C28" s="143"/>
      <c r="D28" s="77">
        <f>SUM(D29:D33)</f>
        <v>2503263.49</v>
      </c>
      <c r="E28" s="77">
        <f>SUM(E29:E33)</f>
        <v>2520519.13</v>
      </c>
      <c r="F28" s="77">
        <f>SUM(F29:F33)</f>
        <v>2418952.26</v>
      </c>
      <c r="G28" s="77">
        <f t="shared" si="1"/>
        <v>-17255.639999999665</v>
      </c>
      <c r="H28" s="39"/>
      <c r="I28" s="39"/>
    </row>
    <row r="29" spans="1:7" ht="15" customHeight="1">
      <c r="A29" s="215" t="s">
        <v>37</v>
      </c>
      <c r="B29" s="34" t="s">
        <v>93</v>
      </c>
      <c r="C29" s="289" t="s">
        <v>406</v>
      </c>
      <c r="D29" s="84">
        <v>85953.37</v>
      </c>
      <c r="E29" s="84">
        <v>86859.15</v>
      </c>
      <c r="F29" s="84">
        <v>1642.14</v>
      </c>
      <c r="G29" s="84">
        <f t="shared" si="1"/>
        <v>-905.7799999999988</v>
      </c>
    </row>
    <row r="30" spans="1:7" ht="15" customHeight="1">
      <c r="A30" s="215" t="s">
        <v>39</v>
      </c>
      <c r="B30" s="34" t="s">
        <v>138</v>
      </c>
      <c r="C30" s="289" t="s">
        <v>409</v>
      </c>
      <c r="D30" s="84">
        <v>331865.43</v>
      </c>
      <c r="E30" s="84">
        <v>341372.41</v>
      </c>
      <c r="F30" s="84">
        <f>D30</f>
        <v>331865.43</v>
      </c>
      <c r="G30" s="84">
        <f t="shared" si="1"/>
        <v>-9506.979999999981</v>
      </c>
    </row>
    <row r="31" spans="1:7" ht="15" customHeight="1">
      <c r="A31" s="215" t="s">
        <v>42</v>
      </c>
      <c r="B31" s="34" t="s">
        <v>421</v>
      </c>
      <c r="C31" s="290" t="s">
        <v>408</v>
      </c>
      <c r="D31" s="84">
        <v>594316.69</v>
      </c>
      <c r="E31" s="84">
        <v>594919.55</v>
      </c>
      <c r="F31" s="84">
        <f>D31</f>
        <v>594316.69</v>
      </c>
      <c r="G31" s="84">
        <f t="shared" si="1"/>
        <v>-602.8600000001024</v>
      </c>
    </row>
    <row r="32" spans="1:7" ht="15" customHeight="1">
      <c r="A32" s="215" t="s">
        <v>41</v>
      </c>
      <c r="B32" s="34" t="s">
        <v>43</v>
      </c>
      <c r="C32" s="289" t="s">
        <v>407</v>
      </c>
      <c r="D32" s="84">
        <v>1480928</v>
      </c>
      <c r="E32" s="84">
        <v>1488818.02</v>
      </c>
      <c r="F32" s="84">
        <f>D32</f>
        <v>1480928</v>
      </c>
      <c r="G32" s="84">
        <f>D32-E32</f>
        <v>-7890.020000000019</v>
      </c>
    </row>
    <row r="33" spans="1:7" ht="15" customHeight="1">
      <c r="A33" s="215" t="s">
        <v>303</v>
      </c>
      <c r="B33" s="347" t="s">
        <v>532</v>
      </c>
      <c r="C33" s="289"/>
      <c r="D33" s="291">
        <f>3000+3600+3600</f>
        <v>10200</v>
      </c>
      <c r="E33" s="291">
        <f>2250+3600+2700</f>
        <v>8550</v>
      </c>
      <c r="F33" s="291">
        <f>D33</f>
        <v>10200</v>
      </c>
      <c r="G33" s="291">
        <f t="shared" si="1"/>
        <v>1650</v>
      </c>
    </row>
    <row r="34" spans="1:10" s="102" customFormat="1" ht="18" customHeight="1" thickBot="1">
      <c r="A34" s="379" t="s">
        <v>328</v>
      </c>
      <c r="B34" s="380"/>
      <c r="C34" s="380"/>
      <c r="D34" s="381"/>
      <c r="E34" s="381"/>
      <c r="F34" s="381"/>
      <c r="G34" s="101"/>
      <c r="H34" s="101"/>
      <c r="I34" s="101"/>
      <c r="J34" s="101"/>
    </row>
    <row r="35" spans="1:9" s="67" customFormat="1" ht="15.75" thickBot="1">
      <c r="A35" s="391" t="s">
        <v>410</v>
      </c>
      <c r="B35" s="392"/>
      <c r="C35" s="392"/>
      <c r="D35" s="65">
        <v>521588.94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6.5" customHeight="1" thickBot="1">
      <c r="A37" s="63" t="s">
        <v>412</v>
      </c>
      <c r="B37" s="64"/>
      <c r="C37" s="64"/>
      <c r="D37" s="69"/>
      <c r="E37" s="70"/>
      <c r="F37" s="70"/>
      <c r="G37" s="145">
        <f>G14</f>
        <v>13787.78</v>
      </c>
      <c r="H37" s="62"/>
      <c r="I37" s="62"/>
    </row>
    <row r="38" spans="1:9" s="67" customFormat="1" ht="16.5" customHeight="1" thickBot="1">
      <c r="A38" s="63" t="s">
        <v>413</v>
      </c>
      <c r="B38" s="64"/>
      <c r="C38" s="64"/>
      <c r="D38" s="69"/>
      <c r="E38" s="70"/>
      <c r="F38" s="70"/>
      <c r="G38" s="145">
        <f>G15+E26-F26</f>
        <v>105575.96389999999</v>
      </c>
      <c r="H38" s="62"/>
      <c r="I38" s="62"/>
    </row>
    <row r="39" spans="1:9" s="67" customFormat="1" ht="16.5" customHeight="1">
      <c r="A39" s="490" t="s">
        <v>373</v>
      </c>
      <c r="B39" s="491"/>
      <c r="C39" s="324"/>
      <c r="D39" s="324"/>
      <c r="E39" s="325"/>
      <c r="F39" s="325"/>
      <c r="G39" s="325"/>
      <c r="H39" s="62"/>
      <c r="I39" s="62"/>
    </row>
    <row r="40" spans="1:9" s="67" customFormat="1" ht="16.5" customHeight="1">
      <c r="A40" s="519" t="s">
        <v>146</v>
      </c>
      <c r="B40" s="520"/>
      <c r="C40" s="316" t="s">
        <v>147</v>
      </c>
      <c r="D40" s="316" t="s">
        <v>148</v>
      </c>
      <c r="E40" s="317" t="s">
        <v>149</v>
      </c>
      <c r="F40" s="318" t="s">
        <v>150</v>
      </c>
      <c r="G40" s="317" t="s">
        <v>151</v>
      </c>
      <c r="H40" s="62"/>
      <c r="I40" s="62"/>
    </row>
    <row r="41" spans="1:9" s="67" customFormat="1" ht="16.5" customHeight="1">
      <c r="A41" s="521"/>
      <c r="B41" s="522"/>
      <c r="C41" s="298">
        <v>16</v>
      </c>
      <c r="D41" s="319">
        <f>E41/C41/12</f>
        <v>17.173333333333336</v>
      </c>
      <c r="E41" s="321">
        <v>3297.28</v>
      </c>
      <c r="F41" s="321">
        <v>19277.81</v>
      </c>
      <c r="G41" s="319">
        <f>E41-F41</f>
        <v>-15980.53</v>
      </c>
      <c r="H41" s="62"/>
      <c r="I41" s="302">
        <v>16</v>
      </c>
    </row>
    <row r="42" spans="1:9" ht="26.25" customHeight="1">
      <c r="A42" s="463" t="s">
        <v>44</v>
      </c>
      <c r="B42" s="463"/>
      <c r="C42" s="463"/>
      <c r="D42" s="463"/>
      <c r="E42" s="463"/>
      <c r="F42" s="463"/>
      <c r="G42" s="463"/>
      <c r="H42" s="463"/>
      <c r="I42" s="463"/>
    </row>
    <row r="43" ht="3.75" customHeight="1"/>
    <row r="44" spans="1:7" s="172" customFormat="1" ht="28.5" customHeight="1">
      <c r="A44" s="105" t="s">
        <v>11</v>
      </c>
      <c r="B44" s="401" t="s">
        <v>45</v>
      </c>
      <c r="C44" s="420"/>
      <c r="D44" s="105" t="s">
        <v>165</v>
      </c>
      <c r="E44" s="105" t="s">
        <v>164</v>
      </c>
      <c r="F44" s="401" t="s">
        <v>46</v>
      </c>
      <c r="G44" s="420"/>
    </row>
    <row r="45" spans="1:7" s="115" customFormat="1" ht="13.5" customHeight="1">
      <c r="A45" s="109" t="s">
        <v>47</v>
      </c>
      <c r="B45" s="403" t="s">
        <v>111</v>
      </c>
      <c r="C45" s="425"/>
      <c r="D45" s="111"/>
      <c r="E45" s="111"/>
      <c r="F45" s="430">
        <f>SUM(F46:L51)</f>
        <v>75778.6081</v>
      </c>
      <c r="G45" s="419"/>
    </row>
    <row r="46" spans="1:7" ht="13.5" customHeight="1">
      <c r="A46" s="34" t="s">
        <v>16</v>
      </c>
      <c r="B46" s="413" t="s">
        <v>719</v>
      </c>
      <c r="C46" s="423"/>
      <c r="D46" s="349" t="s">
        <v>169</v>
      </c>
      <c r="E46" s="358">
        <v>700</v>
      </c>
      <c r="F46" s="451">
        <v>7518</v>
      </c>
      <c r="G46" s="452"/>
    </row>
    <row r="47" spans="1:7" ht="13.5" customHeight="1">
      <c r="A47" s="34" t="s">
        <v>18</v>
      </c>
      <c r="B47" s="382" t="s">
        <v>718</v>
      </c>
      <c r="C47" s="432"/>
      <c r="D47" s="349"/>
      <c r="E47" s="358"/>
      <c r="F47" s="424">
        <v>10000</v>
      </c>
      <c r="G47" s="424"/>
    </row>
    <row r="48" spans="1:7" ht="13.5" customHeight="1">
      <c r="A48" s="34" t="s">
        <v>20</v>
      </c>
      <c r="B48" s="382" t="s">
        <v>716</v>
      </c>
      <c r="C48" s="432"/>
      <c r="D48" s="349"/>
      <c r="E48" s="358"/>
      <c r="F48" s="424">
        <v>1300</v>
      </c>
      <c r="G48" s="424"/>
    </row>
    <row r="49" spans="1:7" ht="13.5" customHeight="1">
      <c r="A49" s="34" t="s">
        <v>22</v>
      </c>
      <c r="B49" s="382" t="s">
        <v>717</v>
      </c>
      <c r="C49" s="432"/>
      <c r="D49" s="119"/>
      <c r="E49" s="153"/>
      <c r="F49" s="424">
        <v>46000</v>
      </c>
      <c r="G49" s="424"/>
    </row>
    <row r="50" spans="1:7" ht="13.5" customHeight="1">
      <c r="A50" s="34" t="s">
        <v>24</v>
      </c>
      <c r="B50" s="382" t="s">
        <v>172</v>
      </c>
      <c r="C50" s="432"/>
      <c r="D50" s="119"/>
      <c r="E50" s="153"/>
      <c r="F50" s="424">
        <v>10000</v>
      </c>
      <c r="G50" s="424"/>
    </row>
    <row r="51" spans="1:7" ht="13.5" customHeight="1">
      <c r="A51" s="34" t="s">
        <v>103</v>
      </c>
      <c r="B51" s="149" t="s">
        <v>191</v>
      </c>
      <c r="C51" s="150"/>
      <c r="D51" s="119"/>
      <c r="E51" s="119"/>
      <c r="F51" s="429">
        <f>E26*1%</f>
        <v>960.6081</v>
      </c>
      <c r="G51" s="429"/>
    </row>
    <row r="52" spans="1:7" ht="13.5" customHeight="1">
      <c r="A52" s="67"/>
      <c r="B52" s="67"/>
      <c r="C52" s="67"/>
      <c r="D52" s="67"/>
      <c r="E52" s="67"/>
      <c r="F52" s="67"/>
      <c r="G52" s="67"/>
    </row>
    <row r="53" spans="1:9" s="67" customFormat="1" ht="15">
      <c r="A53" s="67" t="s">
        <v>55</v>
      </c>
      <c r="C53" s="67" t="s">
        <v>49</v>
      </c>
      <c r="F53" s="67" t="s">
        <v>90</v>
      </c>
      <c r="H53" s="35"/>
      <c r="I53" s="35"/>
    </row>
    <row r="54" spans="6:9" s="67" customFormat="1" ht="15">
      <c r="F54" s="127" t="s">
        <v>438</v>
      </c>
      <c r="H54" s="35"/>
      <c r="I54" s="35"/>
    </row>
    <row r="55" spans="1:9" s="67" customFormat="1" ht="13.5" customHeight="1">
      <c r="A55" s="67" t="s">
        <v>50</v>
      </c>
      <c r="H55" s="35"/>
      <c r="I55" s="35"/>
    </row>
    <row r="56" spans="3:7" s="67" customFormat="1" ht="15">
      <c r="C56" s="129" t="s">
        <v>51</v>
      </c>
      <c r="E56" s="129"/>
      <c r="F56" s="129"/>
      <c r="G56" s="129"/>
    </row>
    <row r="57" s="67" customFormat="1" ht="15"/>
  </sheetData>
  <sheetProtection/>
  <mergeCells count="27">
    <mergeCell ref="B45:C45"/>
    <mergeCell ref="A1:I1"/>
    <mergeCell ref="A2:I2"/>
    <mergeCell ref="A3:K3"/>
    <mergeCell ref="A5:I5"/>
    <mergeCell ref="A11:I11"/>
    <mergeCell ref="A10:I10"/>
    <mergeCell ref="B49:C49"/>
    <mergeCell ref="F49:G49"/>
    <mergeCell ref="B46:C46"/>
    <mergeCell ref="A12:I12"/>
    <mergeCell ref="A35:C35"/>
    <mergeCell ref="A34:F34"/>
    <mergeCell ref="F47:G47"/>
    <mergeCell ref="F48:G48"/>
    <mergeCell ref="B47:C47"/>
    <mergeCell ref="B48:C48"/>
    <mergeCell ref="F51:G51"/>
    <mergeCell ref="F45:G45"/>
    <mergeCell ref="B50:C50"/>
    <mergeCell ref="A39:B39"/>
    <mergeCell ref="A40:B41"/>
    <mergeCell ref="F50:G50"/>
    <mergeCell ref="B44:C44"/>
    <mergeCell ref="A42:I42"/>
    <mergeCell ref="F44:G44"/>
    <mergeCell ref="F46:G46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O58"/>
  <sheetViews>
    <sheetView zoomScalePageLayoutView="0" workbookViewId="0" topLeftCell="A37">
      <selection activeCell="F52" sqref="F52:G52"/>
    </sheetView>
  </sheetViews>
  <sheetFormatPr defaultColWidth="9.140625" defaultRowHeight="15" outlineLevelCol="1"/>
  <cols>
    <col min="1" max="1" width="4.7109375" style="35" customWidth="1"/>
    <col min="2" max="2" width="40.421875" style="35" customWidth="1"/>
    <col min="3" max="3" width="13.2812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" customHeight="1"/>
    <row r="7" spans="1:6" s="67" customFormat="1" ht="16.5" customHeight="1">
      <c r="A7" s="67" t="s">
        <v>2</v>
      </c>
      <c r="F7" s="127" t="s">
        <v>129</v>
      </c>
    </row>
    <row r="8" spans="1:11" s="67" customFormat="1" ht="15">
      <c r="A8" s="67" t="s">
        <v>3</v>
      </c>
      <c r="F8" s="295" t="s">
        <v>470</v>
      </c>
      <c r="H8" s="202">
        <v>459.8</v>
      </c>
      <c r="I8" s="202">
        <f>27.4+27.4+27.4+75.4+93.9+129.2</f>
        <v>380.7</v>
      </c>
      <c r="J8" s="202">
        <f>3906.3</f>
        <v>3906.3</v>
      </c>
      <c r="K8" s="67">
        <f>H8+I8+J8</f>
        <v>4746.8</v>
      </c>
    </row>
    <row r="9" spans="2:7" s="67" customFormat="1" ht="14.25" customHeight="1">
      <c r="B9" s="67" t="s">
        <v>471</v>
      </c>
      <c r="F9" s="295" t="s">
        <v>472</v>
      </c>
      <c r="G9" s="127"/>
    </row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'[1]Ленина 61.5'!$G$36</f>
        <v>1986.7599999999932</v>
      </c>
      <c r="H14" s="62"/>
      <c r="I14" s="62"/>
    </row>
    <row r="15" spans="1:15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'[1]Ленина 61.5'!$G$37</f>
        <v>-349106.1824</v>
      </c>
      <c r="H15" s="62"/>
      <c r="I15" s="62"/>
      <c r="O15" s="127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11" s="67" customFormat="1" ht="29.25">
      <c r="A18" s="75" t="s">
        <v>14</v>
      </c>
      <c r="B18" s="41" t="s">
        <v>15</v>
      </c>
      <c r="C18" s="136">
        <f>C19+C20+C21+C22</f>
        <v>10.34</v>
      </c>
      <c r="D18" s="76">
        <v>537678.2</v>
      </c>
      <c r="E18" s="76">
        <v>547269.74</v>
      </c>
      <c r="F18" s="76">
        <f aca="true" t="shared" si="0" ref="F18:F24">D18</f>
        <v>537678.2</v>
      </c>
      <c r="G18" s="77">
        <f>D18-E18</f>
        <v>-9591.540000000037</v>
      </c>
      <c r="H18" s="78">
        <f>C18</f>
        <v>10.34</v>
      </c>
      <c r="I18" s="168"/>
      <c r="K18" s="67">
        <f>D18/12/J8</f>
        <v>11.47032144655215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179919.39767891684</v>
      </c>
      <c r="E19" s="83">
        <f>E18*I19</f>
        <v>183128.94588007737</v>
      </c>
      <c r="F19" s="83">
        <f t="shared" si="0"/>
        <v>179919.39767891684</v>
      </c>
      <c r="G19" s="84">
        <f>D19-E19</f>
        <v>-3209.5482011605345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87879.70580270792</v>
      </c>
      <c r="E20" s="83">
        <f>E18*I20</f>
        <v>89447.37529980656</v>
      </c>
      <c r="F20" s="83">
        <f t="shared" si="0"/>
        <v>87879.70580270792</v>
      </c>
      <c r="G20" s="84">
        <f>D20-E20</f>
        <v>-1567.6694970986428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111799.62572533848</v>
      </c>
      <c r="E21" s="83">
        <f>E18*I21</f>
        <v>113793.99816247582</v>
      </c>
      <c r="F21" s="83">
        <f t="shared" si="0"/>
        <v>111799.62572533848</v>
      </c>
      <c r="G21" s="84">
        <f>D21-E21</f>
        <v>-1994.3724371373391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158079.47079303674</v>
      </c>
      <c r="E22" s="83">
        <f>E18*I22</f>
        <v>160899.42065764024</v>
      </c>
      <c r="F22" s="83">
        <f t="shared" si="0"/>
        <v>158079.47079303674</v>
      </c>
      <c r="G22" s="84">
        <f>D22-E22</f>
        <v>-2819.9498646034917</v>
      </c>
      <c r="H22" s="78">
        <f>C22</f>
        <v>3.04</v>
      </c>
      <c r="I22" s="67">
        <f>H22/H18</f>
        <v>0.2940038684719536</v>
      </c>
    </row>
    <row r="23" spans="1:9" ht="15">
      <c r="A23" s="41" t="s">
        <v>25</v>
      </c>
      <c r="B23" s="41" t="s">
        <v>26</v>
      </c>
      <c r="C23" s="142">
        <v>0</v>
      </c>
      <c r="D23" s="77">
        <v>0</v>
      </c>
      <c r="E23" s="77">
        <v>0</v>
      </c>
      <c r="F23" s="76">
        <f t="shared" si="0"/>
        <v>0</v>
      </c>
      <c r="G23" s="77">
        <f aca="true" t="shared" si="1" ref="G23:G32">D23-E23</f>
        <v>0</v>
      </c>
      <c r="H23" s="39"/>
      <c r="I23" s="39"/>
    </row>
    <row r="24" spans="1:9" ht="29.25">
      <c r="A24" s="41" t="s">
        <v>27</v>
      </c>
      <c r="B24" s="41" t="s">
        <v>344</v>
      </c>
      <c r="C24" s="142" t="s">
        <v>345</v>
      </c>
      <c r="D24" s="77">
        <v>15840</v>
      </c>
      <c r="E24" s="77">
        <v>15836.04</v>
      </c>
      <c r="F24" s="77">
        <f t="shared" si="0"/>
        <v>15840</v>
      </c>
      <c r="G24" s="77">
        <f t="shared" si="1"/>
        <v>3.959999999999127</v>
      </c>
      <c r="H24" s="39"/>
      <c r="I24" s="39"/>
    </row>
    <row r="25" spans="1:9" ht="15">
      <c r="A25" s="41" t="s">
        <v>29</v>
      </c>
      <c r="B25" s="41" t="s">
        <v>92</v>
      </c>
      <c r="C25" s="142">
        <v>0</v>
      </c>
      <c r="D25" s="77">
        <v>0</v>
      </c>
      <c r="E25" s="77">
        <v>129.93</v>
      </c>
      <c r="F25" s="77">
        <v>0</v>
      </c>
      <c r="G25" s="77">
        <f t="shared" si="1"/>
        <v>-129.93</v>
      </c>
      <c r="H25" s="39"/>
      <c r="I25" s="39"/>
    </row>
    <row r="26" spans="1:9" ht="15">
      <c r="A26" s="41" t="s">
        <v>31</v>
      </c>
      <c r="B26" s="41" t="s">
        <v>116</v>
      </c>
      <c r="C26" s="142">
        <v>2.06</v>
      </c>
      <c r="D26" s="77">
        <v>105190.06</v>
      </c>
      <c r="E26" s="77">
        <v>104919.95</v>
      </c>
      <c r="F26" s="87">
        <f>F44</f>
        <v>104619.1695</v>
      </c>
      <c r="G26" s="77">
        <f t="shared" si="1"/>
        <v>270.1100000000006</v>
      </c>
      <c r="H26" s="39"/>
      <c r="I26" s="39"/>
    </row>
    <row r="27" spans="1:9" ht="15">
      <c r="A27" s="214">
        <v>6</v>
      </c>
      <c r="B27" s="86" t="s">
        <v>163</v>
      </c>
      <c r="C27" s="143">
        <v>0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>
      <c r="A28" s="214">
        <f>A27+1</f>
        <v>7</v>
      </c>
      <c r="B28" s="41" t="s">
        <v>36</v>
      </c>
      <c r="C28" s="143"/>
      <c r="D28" s="77">
        <f>SUM(D29:D32)</f>
        <v>2120000.35</v>
      </c>
      <c r="E28" s="77">
        <f>SUM(E29:E32)</f>
        <v>2153111.64</v>
      </c>
      <c r="F28" s="77">
        <f>SUM(F29:F32)</f>
        <v>2120000.35</v>
      </c>
      <c r="G28" s="77">
        <f t="shared" si="1"/>
        <v>-33111.29000000004</v>
      </c>
      <c r="H28" s="39"/>
      <c r="I28" s="39"/>
    </row>
    <row r="29" spans="1:7" ht="15">
      <c r="A29" s="215" t="s">
        <v>37</v>
      </c>
      <c r="B29" s="34" t="s">
        <v>93</v>
      </c>
      <c r="C29" s="289" t="s">
        <v>406</v>
      </c>
      <c r="D29" s="84">
        <v>41113.57</v>
      </c>
      <c r="E29" s="84">
        <v>42852.03</v>
      </c>
      <c r="F29" s="84">
        <f>D29</f>
        <v>41113.57</v>
      </c>
      <c r="G29" s="84">
        <f t="shared" si="1"/>
        <v>-1738.4599999999991</v>
      </c>
    </row>
    <row r="30" spans="1:7" ht="15">
      <c r="A30" s="215" t="s">
        <v>39</v>
      </c>
      <c r="B30" s="34" t="s">
        <v>138</v>
      </c>
      <c r="C30" s="289" t="s">
        <v>409</v>
      </c>
      <c r="D30" s="84">
        <v>292105.25</v>
      </c>
      <c r="E30" s="84">
        <v>330198.32</v>
      </c>
      <c r="F30" s="84">
        <f>D30</f>
        <v>292105.25</v>
      </c>
      <c r="G30" s="84">
        <f t="shared" si="1"/>
        <v>-38093.07000000001</v>
      </c>
    </row>
    <row r="31" spans="1:7" ht="15">
      <c r="A31" s="215" t="s">
        <v>42</v>
      </c>
      <c r="B31" s="34" t="s">
        <v>421</v>
      </c>
      <c r="C31" s="290" t="s">
        <v>408</v>
      </c>
      <c r="D31" s="84">
        <v>534065.51</v>
      </c>
      <c r="E31" s="84">
        <v>539187.23</v>
      </c>
      <c r="F31" s="84">
        <f>D31</f>
        <v>534065.51</v>
      </c>
      <c r="G31" s="84">
        <f t="shared" si="1"/>
        <v>-5121.719999999972</v>
      </c>
    </row>
    <row r="32" spans="1:7" ht="15">
      <c r="A32" s="215" t="s">
        <v>41</v>
      </c>
      <c r="B32" s="34" t="s">
        <v>43</v>
      </c>
      <c r="C32" s="289" t="s">
        <v>407</v>
      </c>
      <c r="D32" s="84">
        <v>1252716.02</v>
      </c>
      <c r="E32" s="84">
        <v>1240874.06</v>
      </c>
      <c r="F32" s="84">
        <f>D32</f>
        <v>1252716.02</v>
      </c>
      <c r="G32" s="84">
        <f t="shared" si="1"/>
        <v>11841.959999999963</v>
      </c>
    </row>
    <row r="33" spans="1:10" s="102" customFormat="1" ht="5.25" customHeight="1" thickBot="1">
      <c r="A33" s="104"/>
      <c r="B33" s="104"/>
      <c r="C33" s="104"/>
      <c r="D33" s="101"/>
      <c r="E33" s="101"/>
      <c r="F33" s="10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518122.19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G14+E25-F25</f>
        <v>2116.6899999999932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-348805.4019</v>
      </c>
      <c r="H37" s="62"/>
      <c r="I37" s="62"/>
    </row>
    <row r="38" spans="1:9" s="67" customFormat="1" ht="15">
      <c r="A38" s="490" t="s">
        <v>373</v>
      </c>
      <c r="B38" s="491"/>
      <c r="C38" s="324"/>
      <c r="D38" s="324"/>
      <c r="E38" s="325"/>
      <c r="F38" s="325"/>
      <c r="G38" s="325"/>
      <c r="H38" s="62"/>
      <c r="I38" s="62"/>
    </row>
    <row r="39" spans="1:9" s="67" customFormat="1" ht="15">
      <c r="A39" s="519" t="s">
        <v>146</v>
      </c>
      <c r="B39" s="520"/>
      <c r="C39" s="316" t="s">
        <v>147</v>
      </c>
      <c r="D39" s="316" t="s">
        <v>148</v>
      </c>
      <c r="E39" s="317" t="s">
        <v>149</v>
      </c>
      <c r="F39" s="318" t="s">
        <v>150</v>
      </c>
      <c r="G39" s="317" t="s">
        <v>151</v>
      </c>
      <c r="H39" s="62"/>
      <c r="I39" s="62"/>
    </row>
    <row r="40" spans="1:9" s="67" customFormat="1" ht="15">
      <c r="A40" s="521"/>
      <c r="B40" s="522"/>
      <c r="C40" s="298">
        <v>459.8</v>
      </c>
      <c r="D40" s="319">
        <f>E40/C40/12</f>
        <v>9.360004349717268</v>
      </c>
      <c r="E40" s="321">
        <v>51644.76</v>
      </c>
      <c r="F40" s="321">
        <v>68418.24</v>
      </c>
      <c r="G40" s="319">
        <f>E40-F40</f>
        <v>-16773.480000000003</v>
      </c>
      <c r="H40" s="62"/>
      <c r="I40" s="326">
        <f>129.2+93.9+27.4+27.4+27.4</f>
        <v>305.29999999999995</v>
      </c>
    </row>
    <row r="41" spans="1:9" ht="26.25" customHeight="1">
      <c r="A41" s="463" t="s">
        <v>44</v>
      </c>
      <c r="B41" s="463"/>
      <c r="C41" s="463"/>
      <c r="D41" s="463"/>
      <c r="E41" s="463"/>
      <c r="F41" s="463"/>
      <c r="G41" s="463"/>
      <c r="H41" s="463"/>
      <c r="I41" s="463"/>
    </row>
    <row r="42" ht="3.75" customHeight="1"/>
    <row r="43" spans="1:7" s="172" customFormat="1" ht="28.5" customHeight="1">
      <c r="A43" s="105" t="s">
        <v>11</v>
      </c>
      <c r="B43" s="401" t="s">
        <v>45</v>
      </c>
      <c r="C43" s="420"/>
      <c r="D43" s="105" t="s">
        <v>165</v>
      </c>
      <c r="E43" s="105" t="s">
        <v>164</v>
      </c>
      <c r="F43" s="401" t="s">
        <v>46</v>
      </c>
      <c r="G43" s="420"/>
    </row>
    <row r="44" spans="1:7" s="115" customFormat="1" ht="13.5" customHeight="1">
      <c r="A44" s="109" t="s">
        <v>47</v>
      </c>
      <c r="B44" s="403" t="s">
        <v>111</v>
      </c>
      <c r="C44" s="425"/>
      <c r="D44" s="111"/>
      <c r="E44" s="111"/>
      <c r="F44" s="430">
        <f>SUM(F45:L53)</f>
        <v>104619.1695</v>
      </c>
      <c r="G44" s="419"/>
    </row>
    <row r="45" spans="1:7" ht="13.5" customHeight="1">
      <c r="A45" s="34" t="s">
        <v>16</v>
      </c>
      <c r="B45" s="413" t="s">
        <v>547</v>
      </c>
      <c r="C45" s="423"/>
      <c r="D45" s="349" t="s">
        <v>548</v>
      </c>
      <c r="E45" s="349">
        <v>2.25</v>
      </c>
      <c r="F45" s="451">
        <v>990</v>
      </c>
      <c r="G45" s="452"/>
    </row>
    <row r="46" spans="1:7" ht="13.5" customHeight="1">
      <c r="A46" s="34" t="s">
        <v>18</v>
      </c>
      <c r="B46" s="382" t="s">
        <v>720</v>
      </c>
      <c r="C46" s="384"/>
      <c r="D46" s="119"/>
      <c r="E46" s="119" t="s">
        <v>699</v>
      </c>
      <c r="F46" s="429">
        <v>3585.5</v>
      </c>
      <c r="G46" s="429"/>
    </row>
    <row r="47" spans="1:7" ht="13.5" customHeight="1">
      <c r="A47" s="34" t="s">
        <v>20</v>
      </c>
      <c r="B47" s="382" t="s">
        <v>721</v>
      </c>
      <c r="C47" s="384"/>
      <c r="D47" s="119"/>
      <c r="E47" s="119"/>
      <c r="F47" s="446">
        <v>8000</v>
      </c>
      <c r="G47" s="447"/>
    </row>
    <row r="48" spans="1:7" ht="13.5" customHeight="1">
      <c r="A48" s="34" t="s">
        <v>22</v>
      </c>
      <c r="B48" s="382" t="s">
        <v>711</v>
      </c>
      <c r="C48" s="432"/>
      <c r="D48" s="119"/>
      <c r="E48" s="153"/>
      <c r="F48" s="424">
        <v>32000</v>
      </c>
      <c r="G48" s="424"/>
    </row>
    <row r="49" spans="1:7" ht="13.5" customHeight="1">
      <c r="A49" s="34" t="s">
        <v>24</v>
      </c>
      <c r="B49" s="382" t="s">
        <v>722</v>
      </c>
      <c r="C49" s="432"/>
      <c r="D49" s="119"/>
      <c r="E49" s="153"/>
      <c r="F49" s="424">
        <v>28000</v>
      </c>
      <c r="G49" s="424"/>
    </row>
    <row r="50" spans="1:7" ht="13.5" customHeight="1">
      <c r="A50" s="34" t="s">
        <v>103</v>
      </c>
      <c r="B50" s="382" t="s">
        <v>723</v>
      </c>
      <c r="C50" s="432"/>
      <c r="D50" s="119"/>
      <c r="E50" s="153"/>
      <c r="F50" s="424">
        <v>15000</v>
      </c>
      <c r="G50" s="424"/>
    </row>
    <row r="51" spans="1:7" ht="13.5" customHeight="1">
      <c r="A51" s="34" t="s">
        <v>104</v>
      </c>
      <c r="B51" s="382" t="s">
        <v>170</v>
      </c>
      <c r="C51" s="432"/>
      <c r="D51" s="119"/>
      <c r="E51" s="153"/>
      <c r="F51" s="424">
        <v>11000</v>
      </c>
      <c r="G51" s="424"/>
    </row>
    <row r="52" spans="1:7" ht="24.75" customHeight="1">
      <c r="A52" s="34" t="s">
        <v>117</v>
      </c>
      <c r="B52" s="382" t="s">
        <v>724</v>
      </c>
      <c r="C52" s="432"/>
      <c r="D52" s="119"/>
      <c r="E52" s="153" t="s">
        <v>725</v>
      </c>
      <c r="F52" s="424">
        <v>4994.47</v>
      </c>
      <c r="G52" s="424"/>
    </row>
    <row r="53" spans="1:9" ht="13.5" customHeight="1">
      <c r="A53" s="34" t="s">
        <v>118</v>
      </c>
      <c r="B53" s="149" t="s">
        <v>191</v>
      </c>
      <c r="C53" s="150"/>
      <c r="D53" s="119"/>
      <c r="E53" s="119"/>
      <c r="F53" s="429">
        <f>E26*1%</f>
        <v>1049.1995</v>
      </c>
      <c r="G53" s="429"/>
      <c r="H53" s="67"/>
      <c r="I53" s="67"/>
    </row>
    <row r="54" spans="1:7" ht="13.5" customHeight="1">
      <c r="A54" s="67"/>
      <c r="B54" s="67"/>
      <c r="C54" s="67"/>
      <c r="D54" s="67"/>
      <c r="E54" s="67"/>
      <c r="F54" s="67"/>
      <c r="G54" s="67"/>
    </row>
    <row r="55" spans="1:7" ht="13.5" customHeight="1">
      <c r="A55" s="67" t="s">
        <v>55</v>
      </c>
      <c r="B55" s="67"/>
      <c r="C55" s="67" t="s">
        <v>49</v>
      </c>
      <c r="D55" s="67"/>
      <c r="E55" s="67"/>
      <c r="F55" s="67" t="s">
        <v>90</v>
      </c>
      <c r="G55" s="67"/>
    </row>
    <row r="56" spans="1:7" ht="13.5" customHeight="1">
      <c r="A56" s="67"/>
      <c r="B56" s="67"/>
      <c r="C56" s="67"/>
      <c r="D56" s="67"/>
      <c r="E56" s="67"/>
      <c r="F56" s="127" t="s">
        <v>438</v>
      </c>
      <c r="G56" s="67"/>
    </row>
    <row r="57" spans="1:7" ht="13.5" customHeight="1">
      <c r="A57" s="67" t="s">
        <v>50</v>
      </c>
      <c r="B57" s="67"/>
      <c r="C57" s="67"/>
      <c r="D57" s="67"/>
      <c r="E57" s="67"/>
      <c r="F57" s="67"/>
      <c r="G57" s="67"/>
    </row>
    <row r="58" spans="1:7" ht="13.5" customHeight="1">
      <c r="A58" s="67"/>
      <c r="B58" s="67"/>
      <c r="C58" s="129" t="s">
        <v>51</v>
      </c>
      <c r="D58" s="67"/>
      <c r="E58" s="129"/>
      <c r="F58" s="129"/>
      <c r="G58" s="129"/>
    </row>
    <row r="59" s="67" customFormat="1" ht="15"/>
    <row r="60" s="67" customFormat="1" ht="15"/>
    <row r="61" s="67" customFormat="1" ht="15"/>
  </sheetData>
  <sheetProtection/>
  <mergeCells count="32">
    <mergeCell ref="B51:C51"/>
    <mergeCell ref="F51:G51"/>
    <mergeCell ref="F53:G53"/>
    <mergeCell ref="B46:C46"/>
    <mergeCell ref="F48:G48"/>
    <mergeCell ref="A11:I11"/>
    <mergeCell ref="A1:I1"/>
    <mergeCell ref="A2:I2"/>
    <mergeCell ref="A3:K3"/>
    <mergeCell ref="A5:I5"/>
    <mergeCell ref="A10:I10"/>
    <mergeCell ref="F49:G49"/>
    <mergeCell ref="B43:C43"/>
    <mergeCell ref="B44:C44"/>
    <mergeCell ref="F44:G44"/>
    <mergeCell ref="F45:G45"/>
    <mergeCell ref="F46:G46"/>
    <mergeCell ref="B52:C52"/>
    <mergeCell ref="F52:G52"/>
    <mergeCell ref="F50:G50"/>
    <mergeCell ref="B49:C49"/>
    <mergeCell ref="B50:C50"/>
    <mergeCell ref="A12:I12"/>
    <mergeCell ref="A34:C34"/>
    <mergeCell ref="B45:C45"/>
    <mergeCell ref="B48:C48"/>
    <mergeCell ref="A38:B38"/>
    <mergeCell ref="A39:B40"/>
    <mergeCell ref="A41:I41"/>
    <mergeCell ref="F47:G47"/>
    <mergeCell ref="F43:G43"/>
    <mergeCell ref="B47:C47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</sheetPr>
  <dimension ref="A1:N62"/>
  <sheetViews>
    <sheetView zoomScalePageLayoutView="0" workbookViewId="0" topLeftCell="A41">
      <selection activeCell="F45" sqref="F45:G54"/>
    </sheetView>
  </sheetViews>
  <sheetFormatPr defaultColWidth="9.140625" defaultRowHeight="15" outlineLevelCol="1"/>
  <cols>
    <col min="1" max="1" width="4.7109375" style="35" customWidth="1"/>
    <col min="2" max="2" width="40.7109375" style="35" customWidth="1"/>
    <col min="3" max="3" width="14.140625" style="35" customWidth="1"/>
    <col min="4" max="5" width="12.7109375" style="35" customWidth="1"/>
    <col min="6" max="6" width="14.57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140625" style="35" customWidth="1"/>
    <col min="15" max="15" width="11.421875" style="35" bestFit="1" customWidth="1"/>
    <col min="16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" customHeight="1"/>
    <row r="7" spans="1:6" s="67" customFormat="1" ht="16.5" customHeight="1">
      <c r="A7" s="67" t="s">
        <v>2</v>
      </c>
      <c r="F7" s="127" t="s">
        <v>127</v>
      </c>
    </row>
    <row r="8" spans="1:11" s="67" customFormat="1" ht="15">
      <c r="A8" s="67" t="s">
        <v>3</v>
      </c>
      <c r="F8" s="295" t="s">
        <v>473</v>
      </c>
      <c r="I8" s="202">
        <v>122.3</v>
      </c>
      <c r="J8" s="202">
        <v>3068.5</v>
      </c>
      <c r="K8" s="202">
        <f>I8+J8</f>
        <v>3190.8</v>
      </c>
    </row>
    <row r="9" s="67" customFormat="1" ht="6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'[1]Билибина 26'!$G$36</f>
        <v>0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'[1]Билибина 26'!$G$37</f>
        <v>-90883.81150000003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29.25">
      <c r="A18" s="75" t="s">
        <v>14</v>
      </c>
      <c r="B18" s="41" t="s">
        <v>15</v>
      </c>
      <c r="C18" s="136">
        <f>C19+C20+C21+C22</f>
        <v>9.879999999999999</v>
      </c>
      <c r="D18" s="76">
        <v>390444.98</v>
      </c>
      <c r="E18" s="76">
        <v>365746.98</v>
      </c>
      <c r="F18" s="76">
        <f aca="true" t="shared" si="0" ref="F18:F25">D18</f>
        <v>390444.98</v>
      </c>
      <c r="G18" s="77">
        <f>D18-E18</f>
        <v>24698</v>
      </c>
      <c r="H18" s="78">
        <f aca="true" t="shared" si="1" ref="H18:H23"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136734.78044534413</v>
      </c>
      <c r="E19" s="83">
        <f>E18*I19</f>
        <v>128085.48085020244</v>
      </c>
      <c r="F19" s="83">
        <f t="shared" si="0"/>
        <v>136734.78044534413</v>
      </c>
      <c r="G19" s="84">
        <f>D19-E19</f>
        <v>8649.299595141696</v>
      </c>
      <c r="H19" s="78">
        <f t="shared" si="1"/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66786.64131578947</v>
      </c>
      <c r="E20" s="83">
        <f>E18*I20</f>
        <v>62561.98342105263</v>
      </c>
      <c r="F20" s="83">
        <f t="shared" si="0"/>
        <v>66786.64131578947</v>
      </c>
      <c r="G20" s="84">
        <f>E20-D20</f>
        <v>-4224.65789473684</v>
      </c>
      <c r="H20" s="78">
        <f t="shared" si="1"/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66786.64131578947</v>
      </c>
      <c r="E21" s="83">
        <f>E18*I21</f>
        <v>62561.98342105263</v>
      </c>
      <c r="F21" s="83">
        <f t="shared" si="0"/>
        <v>66786.64131578947</v>
      </c>
      <c r="G21" s="84">
        <f>E21-D21</f>
        <v>-4224.65789473684</v>
      </c>
      <c r="H21" s="78">
        <f t="shared" si="1"/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120136.91692307692</v>
      </c>
      <c r="E22" s="83">
        <f>E18*I22</f>
        <v>112537.53230769231</v>
      </c>
      <c r="F22" s="83">
        <f t="shared" si="0"/>
        <v>120136.91692307692</v>
      </c>
      <c r="G22" s="84">
        <f>E22-D22</f>
        <v>-7599.38461538461</v>
      </c>
      <c r="H22" s="78">
        <f t="shared" si="1"/>
        <v>3.04</v>
      </c>
      <c r="I22" s="67">
        <f>H22/H18</f>
        <v>0.3076923076923077</v>
      </c>
    </row>
    <row r="23" spans="1:8" ht="26.25">
      <c r="A23" s="41" t="s">
        <v>25</v>
      </c>
      <c r="B23" s="141" t="s">
        <v>346</v>
      </c>
      <c r="C23" s="46">
        <v>2.62</v>
      </c>
      <c r="D23" s="77">
        <v>0</v>
      </c>
      <c r="E23" s="77">
        <v>2689.28</v>
      </c>
      <c r="F23" s="77">
        <f t="shared" si="0"/>
        <v>0</v>
      </c>
      <c r="G23" s="77">
        <f aca="true" t="shared" si="2" ref="G23:G32">D23-E23</f>
        <v>-2689.28</v>
      </c>
      <c r="H23" s="35">
        <f t="shared" si="1"/>
        <v>2.62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2"/>
        <v>0</v>
      </c>
    </row>
    <row r="25" spans="1:7" ht="15">
      <c r="A25" s="41" t="s">
        <v>29</v>
      </c>
      <c r="B25" s="141" t="s">
        <v>163</v>
      </c>
      <c r="C25" s="142">
        <v>1902.11</v>
      </c>
      <c r="D25" s="77">
        <v>0</v>
      </c>
      <c r="E25" s="77">
        <v>0</v>
      </c>
      <c r="F25" s="77">
        <f t="shared" si="0"/>
        <v>0</v>
      </c>
      <c r="G25" s="77">
        <f t="shared" si="2"/>
        <v>0</v>
      </c>
    </row>
    <row r="26" spans="1:14" ht="15">
      <c r="A26" s="41" t="s">
        <v>31</v>
      </c>
      <c r="B26" s="141" t="s">
        <v>116</v>
      </c>
      <c r="C26" s="97">
        <v>1.86</v>
      </c>
      <c r="D26" s="77">
        <v>70429.08</v>
      </c>
      <c r="E26" s="77">
        <v>68455.58</v>
      </c>
      <c r="F26" s="87">
        <f>F44</f>
        <v>75630.9458</v>
      </c>
      <c r="G26" s="77">
        <f t="shared" si="2"/>
        <v>1973.5</v>
      </c>
      <c r="N26" s="35">
        <v>0</v>
      </c>
    </row>
    <row r="27" spans="1:7" ht="15">
      <c r="A27" s="41" t="s">
        <v>33</v>
      </c>
      <c r="B27" s="135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2"/>
        <v>0</v>
      </c>
    </row>
    <row r="28" spans="1:7" ht="15">
      <c r="A28" s="41" t="s">
        <v>35</v>
      </c>
      <c r="B28" s="135" t="s">
        <v>36</v>
      </c>
      <c r="C28" s="97"/>
      <c r="D28" s="77">
        <f>SUM(D29:D32)</f>
        <v>2013205.16</v>
      </c>
      <c r="E28" s="77">
        <f>SUM(E29:E32)</f>
        <v>1976785.74</v>
      </c>
      <c r="F28" s="77">
        <f>SUM(F29:F32)</f>
        <v>2013205.16</v>
      </c>
      <c r="G28" s="77">
        <f t="shared" si="2"/>
        <v>36419.419999999925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395328.54</v>
      </c>
      <c r="E29" s="84">
        <v>398204.67</v>
      </c>
      <c r="F29" s="84">
        <f>D29</f>
        <v>395328.54</v>
      </c>
      <c r="G29" s="84">
        <f t="shared" si="2"/>
        <v>-2876.1300000000047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454990.24</v>
      </c>
      <c r="E30" s="84">
        <v>461938.36</v>
      </c>
      <c r="F30" s="84">
        <f>D30</f>
        <v>454990.24</v>
      </c>
      <c r="G30" s="84">
        <f t="shared" si="2"/>
        <v>-6948.119999999995</v>
      </c>
    </row>
    <row r="31" spans="1:7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2"/>
        <v>0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1162886.38</v>
      </c>
      <c r="E32" s="84">
        <v>1116642.71</v>
      </c>
      <c r="F32" s="84">
        <f>D32</f>
        <v>1162886.38</v>
      </c>
      <c r="G32" s="84">
        <f t="shared" si="2"/>
        <v>46243.669999999925</v>
      </c>
    </row>
    <row r="33" spans="1:7" ht="15.75" thickBot="1">
      <c r="A33" s="379" t="s">
        <v>328</v>
      </c>
      <c r="B33" s="380"/>
      <c r="C33" s="380"/>
      <c r="D33" s="381"/>
      <c r="E33" s="381"/>
      <c r="F33" s="381"/>
      <c r="G33" s="171"/>
    </row>
    <row r="34" spans="1:10" s="102" customFormat="1" ht="14.25" thickBot="1">
      <c r="A34" s="391" t="s">
        <v>410</v>
      </c>
      <c r="B34" s="392"/>
      <c r="C34" s="392"/>
      <c r="D34" s="65">
        <v>1081952</v>
      </c>
      <c r="E34" s="66"/>
      <c r="F34" s="66"/>
      <c r="G34" s="66"/>
      <c r="H34" s="101"/>
      <c r="I34" s="101"/>
      <c r="J34" s="101"/>
    </row>
    <row r="35" spans="1:9" s="67" customFormat="1" ht="8.2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0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-98059.17730000002</v>
      </c>
      <c r="H37" s="62"/>
      <c r="I37" s="62"/>
    </row>
    <row r="38" spans="1:9" s="67" customFormat="1" ht="15">
      <c r="A38" s="490" t="s">
        <v>373</v>
      </c>
      <c r="B38" s="491"/>
      <c r="C38" s="324"/>
      <c r="D38" s="324"/>
      <c r="E38" s="325"/>
      <c r="F38" s="325"/>
      <c r="G38" s="325"/>
      <c r="H38" s="62"/>
      <c r="I38" s="62"/>
    </row>
    <row r="39" spans="1:9" s="67" customFormat="1" ht="15">
      <c r="A39" s="519" t="s">
        <v>146</v>
      </c>
      <c r="B39" s="520"/>
      <c r="C39" s="316" t="s">
        <v>147</v>
      </c>
      <c r="D39" s="316" t="s">
        <v>148</v>
      </c>
      <c r="E39" s="317" t="s">
        <v>149</v>
      </c>
      <c r="F39" s="318" t="s">
        <v>150</v>
      </c>
      <c r="G39" s="317" t="s">
        <v>151</v>
      </c>
      <c r="H39" s="62"/>
      <c r="I39" s="62"/>
    </row>
    <row r="40" spans="1:9" s="67" customFormat="1" ht="15">
      <c r="A40" s="521"/>
      <c r="B40" s="522"/>
      <c r="C40" s="298">
        <f>39.8+41.8</f>
        <v>81.6</v>
      </c>
      <c r="D40" s="319">
        <f>E40/C40/12</f>
        <v>11.586601307189545</v>
      </c>
      <c r="E40" s="321">
        <f>5533.76+5811.84</f>
        <v>11345.6</v>
      </c>
      <c r="F40" s="321">
        <f>5533.76+19607.08</f>
        <v>25140.840000000004</v>
      </c>
      <c r="G40" s="319">
        <f>E40-F40</f>
        <v>-13795.240000000003</v>
      </c>
      <c r="H40" s="62"/>
      <c r="I40" s="326">
        <f>39.8+41.8</f>
        <v>81.6</v>
      </c>
    </row>
    <row r="41" spans="1:9" ht="28.5" customHeight="1">
      <c r="A41" s="463" t="s">
        <v>44</v>
      </c>
      <c r="B41" s="463"/>
      <c r="C41" s="463"/>
      <c r="D41" s="463"/>
      <c r="E41" s="463"/>
      <c r="F41" s="463"/>
      <c r="G41" s="463"/>
      <c r="H41" s="463"/>
      <c r="I41" s="463"/>
    </row>
    <row r="42" ht="3.75" customHeight="1"/>
    <row r="43" spans="1:7" s="172" customFormat="1" ht="28.5" customHeight="1">
      <c r="A43" s="105" t="s">
        <v>11</v>
      </c>
      <c r="B43" s="401" t="s">
        <v>45</v>
      </c>
      <c r="C43" s="420"/>
      <c r="D43" s="105" t="s">
        <v>165</v>
      </c>
      <c r="E43" s="105" t="s">
        <v>164</v>
      </c>
      <c r="F43" s="401" t="s">
        <v>46</v>
      </c>
      <c r="G43" s="420"/>
    </row>
    <row r="44" spans="1:7" s="115" customFormat="1" ht="13.5" customHeight="1">
      <c r="A44" s="109" t="s">
        <v>47</v>
      </c>
      <c r="B44" s="403" t="s">
        <v>111</v>
      </c>
      <c r="C44" s="425"/>
      <c r="D44" s="111"/>
      <c r="E44" s="111"/>
      <c r="F44" s="430">
        <f>SUM(F45:L54)</f>
        <v>75630.9458</v>
      </c>
      <c r="G44" s="419"/>
    </row>
    <row r="45" spans="1:7" ht="27.75" customHeight="1">
      <c r="A45" s="34" t="s">
        <v>16</v>
      </c>
      <c r="B45" s="413" t="s">
        <v>635</v>
      </c>
      <c r="C45" s="423"/>
      <c r="D45" s="119"/>
      <c r="E45" s="349" t="s">
        <v>239</v>
      </c>
      <c r="F45" s="451">
        <v>1650</v>
      </c>
      <c r="G45" s="452"/>
    </row>
    <row r="46" spans="1:7" ht="20.25" customHeight="1">
      <c r="A46" s="34" t="s">
        <v>18</v>
      </c>
      <c r="B46" s="413" t="s">
        <v>636</v>
      </c>
      <c r="C46" s="423"/>
      <c r="D46" s="349" t="s">
        <v>229</v>
      </c>
      <c r="E46" s="349">
        <v>0.03</v>
      </c>
      <c r="F46" s="431">
        <v>4031.89</v>
      </c>
      <c r="G46" s="431"/>
    </row>
    <row r="47" spans="1:7" ht="17.25" customHeight="1">
      <c r="A47" s="34" t="s">
        <v>20</v>
      </c>
      <c r="B47" s="413" t="s">
        <v>631</v>
      </c>
      <c r="C47" s="423"/>
      <c r="D47" s="349" t="s">
        <v>548</v>
      </c>
      <c r="E47" s="349">
        <v>3</v>
      </c>
      <c r="F47" s="451">
        <v>1320</v>
      </c>
      <c r="G47" s="452"/>
    </row>
    <row r="48" spans="1:7" ht="17.25" customHeight="1">
      <c r="A48" s="34" t="s">
        <v>22</v>
      </c>
      <c r="B48" s="382" t="s">
        <v>726</v>
      </c>
      <c r="C48" s="432"/>
      <c r="D48" s="349" t="s">
        <v>166</v>
      </c>
      <c r="E48" s="349">
        <v>2</v>
      </c>
      <c r="F48" s="424">
        <v>544.5</v>
      </c>
      <c r="G48" s="424"/>
    </row>
    <row r="49" spans="1:7" ht="17.25" customHeight="1">
      <c r="A49" s="34" t="s">
        <v>24</v>
      </c>
      <c r="B49" s="382" t="s">
        <v>727</v>
      </c>
      <c r="C49" s="432"/>
      <c r="D49" s="349"/>
      <c r="E49" s="349"/>
      <c r="F49" s="424">
        <v>44500</v>
      </c>
      <c r="G49" s="424"/>
    </row>
    <row r="50" spans="1:7" ht="17.25" customHeight="1">
      <c r="A50" s="34" t="s">
        <v>103</v>
      </c>
      <c r="B50" s="382" t="s">
        <v>170</v>
      </c>
      <c r="C50" s="432"/>
      <c r="D50" s="349"/>
      <c r="E50" s="349"/>
      <c r="F50" s="424">
        <v>5300</v>
      </c>
      <c r="G50" s="424"/>
    </row>
    <row r="51" spans="1:7" ht="13.5" customHeight="1">
      <c r="A51" s="34" t="s">
        <v>104</v>
      </c>
      <c r="B51" s="382" t="s">
        <v>728</v>
      </c>
      <c r="C51" s="432"/>
      <c r="D51" s="119"/>
      <c r="E51" s="153"/>
      <c r="F51" s="424">
        <v>12300</v>
      </c>
      <c r="G51" s="424"/>
    </row>
    <row r="52" spans="1:7" ht="13.5" customHeight="1">
      <c r="A52" s="34" t="s">
        <v>117</v>
      </c>
      <c r="B52" s="382" t="s">
        <v>729</v>
      </c>
      <c r="C52" s="432"/>
      <c r="D52" s="119"/>
      <c r="E52" s="153"/>
      <c r="F52" s="424">
        <v>5300</v>
      </c>
      <c r="G52" s="424"/>
    </row>
    <row r="53" spans="1:7" ht="13.5" customHeight="1">
      <c r="A53" s="34" t="s">
        <v>118</v>
      </c>
      <c r="B53" s="382"/>
      <c r="C53" s="432"/>
      <c r="D53" s="119"/>
      <c r="E53" s="153"/>
      <c r="F53" s="424"/>
      <c r="G53" s="424"/>
    </row>
    <row r="54" spans="1:7" s="67" customFormat="1" ht="13.5" customHeight="1">
      <c r="A54" s="34" t="s">
        <v>119</v>
      </c>
      <c r="B54" s="149" t="s">
        <v>191</v>
      </c>
      <c r="C54" s="150"/>
      <c r="D54" s="119"/>
      <c r="E54" s="119"/>
      <c r="F54" s="429">
        <f>E26*1%</f>
        <v>684.5558</v>
      </c>
      <c r="G54" s="429"/>
    </row>
    <row r="55" spans="8:9" s="67" customFormat="1" ht="15">
      <c r="H55" s="35"/>
      <c r="I55" s="35"/>
    </row>
    <row r="56" spans="1:9" s="67" customFormat="1" ht="15">
      <c r="A56" s="67" t="s">
        <v>55</v>
      </c>
      <c r="C56" s="67" t="s">
        <v>49</v>
      </c>
      <c r="F56" s="67" t="s">
        <v>90</v>
      </c>
      <c r="H56" s="35"/>
      <c r="I56" s="35"/>
    </row>
    <row r="57" spans="6:9" s="67" customFormat="1" ht="15">
      <c r="F57" s="127" t="s">
        <v>438</v>
      </c>
      <c r="H57" s="35"/>
      <c r="I57" s="35"/>
    </row>
    <row r="58" spans="1:9" s="67" customFormat="1" ht="15">
      <c r="A58" s="67" t="s">
        <v>50</v>
      </c>
      <c r="H58" s="35"/>
      <c r="I58" s="35"/>
    </row>
    <row r="59" spans="1:7" ht="15">
      <c r="A59" s="67"/>
      <c r="B59" s="67"/>
      <c r="C59" s="129" t="s">
        <v>51</v>
      </c>
      <c r="D59" s="67"/>
      <c r="E59" s="129"/>
      <c r="F59" s="129"/>
      <c r="G59" s="129"/>
    </row>
    <row r="60" spans="1:9" ht="15">
      <c r="A60" s="67"/>
      <c r="B60" s="67"/>
      <c r="C60" s="67"/>
      <c r="D60" s="67"/>
      <c r="E60" s="67"/>
      <c r="F60" s="67"/>
      <c r="G60" s="67"/>
      <c r="H60" s="67"/>
      <c r="I60" s="67"/>
    </row>
    <row r="61" spans="1:9" ht="15">
      <c r="A61" s="67"/>
      <c r="B61" s="67"/>
      <c r="C61" s="67"/>
      <c r="D61" s="67"/>
      <c r="E61" s="67"/>
      <c r="F61" s="67"/>
      <c r="G61" s="67"/>
      <c r="H61" s="67"/>
      <c r="I61" s="67"/>
    </row>
    <row r="62" spans="1:9" ht="15">
      <c r="A62" s="67"/>
      <c r="B62" s="67"/>
      <c r="C62" s="67"/>
      <c r="D62" s="67"/>
      <c r="E62" s="67"/>
      <c r="F62" s="67"/>
      <c r="G62" s="67"/>
      <c r="H62" s="67"/>
      <c r="I62" s="67"/>
    </row>
  </sheetData>
  <sheetProtection/>
  <mergeCells count="35">
    <mergeCell ref="B48:C48"/>
    <mergeCell ref="B49:C49"/>
    <mergeCell ref="B50:C50"/>
    <mergeCell ref="F48:G48"/>
    <mergeCell ref="F49:G49"/>
    <mergeCell ref="F50:G50"/>
    <mergeCell ref="F52:G52"/>
    <mergeCell ref="F53:G53"/>
    <mergeCell ref="B52:C52"/>
    <mergeCell ref="B53:C53"/>
    <mergeCell ref="A1:I1"/>
    <mergeCell ref="A2:I2"/>
    <mergeCell ref="A3:K3"/>
    <mergeCell ref="A5:I5"/>
    <mergeCell ref="A10:I10"/>
    <mergeCell ref="A12:I12"/>
    <mergeCell ref="A11:I11"/>
    <mergeCell ref="A33:F33"/>
    <mergeCell ref="F44:G44"/>
    <mergeCell ref="A34:C34"/>
    <mergeCell ref="A41:I41"/>
    <mergeCell ref="F43:G43"/>
    <mergeCell ref="A38:B38"/>
    <mergeCell ref="A39:B40"/>
    <mergeCell ref="B44:C44"/>
    <mergeCell ref="F54:G54"/>
    <mergeCell ref="B51:C51"/>
    <mergeCell ref="F51:G51"/>
    <mergeCell ref="F47:G47"/>
    <mergeCell ref="B43:C43"/>
    <mergeCell ref="B46:C46"/>
    <mergeCell ref="F46:G46"/>
    <mergeCell ref="B45:C45"/>
    <mergeCell ref="B47:C47"/>
    <mergeCell ref="F45:G45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zoomScalePageLayoutView="0" workbookViewId="0" topLeftCell="A41">
      <selection activeCell="F44" sqref="F44:G49"/>
    </sheetView>
  </sheetViews>
  <sheetFormatPr defaultColWidth="9.140625" defaultRowHeight="15" outlineLevelCol="1"/>
  <cols>
    <col min="1" max="1" width="4.7109375" style="35" customWidth="1"/>
    <col min="2" max="2" width="44.28125" style="35" customWidth="1"/>
    <col min="3" max="3" width="12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3.42187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" customHeight="1"/>
    <row r="7" spans="1:6" s="67" customFormat="1" ht="16.5" customHeight="1">
      <c r="A7" s="67" t="s">
        <v>2</v>
      </c>
      <c r="F7" s="127" t="s">
        <v>255</v>
      </c>
    </row>
    <row r="8" spans="1:6" s="67" customFormat="1" ht="15">
      <c r="A8" s="67" t="s">
        <v>3</v>
      </c>
      <c r="F8" s="295" t="s">
        <v>256</v>
      </c>
    </row>
    <row r="9" s="67" customFormat="1" ht="6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474</v>
      </c>
      <c r="B14" s="64"/>
      <c r="C14" s="64"/>
      <c r="D14" s="69"/>
      <c r="E14" s="70"/>
      <c r="F14" s="70"/>
      <c r="G14" s="145">
        <f>'[1]Московская 167'!$G$37</f>
        <v>0</v>
      </c>
      <c r="H14" s="62"/>
      <c r="I14" s="62"/>
    </row>
    <row r="15" spans="1:9" s="67" customFormat="1" ht="15.75" thickBot="1">
      <c r="A15" s="63" t="s">
        <v>475</v>
      </c>
      <c r="B15" s="64"/>
      <c r="C15" s="64"/>
      <c r="D15" s="69"/>
      <c r="E15" s="70"/>
      <c r="F15" s="70"/>
      <c r="G15" s="145">
        <f>'[1]Московская 167'!$G$38</f>
        <v>-40836.1753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29.25">
      <c r="A18" s="75" t="s">
        <v>14</v>
      </c>
      <c r="B18" s="41" t="s">
        <v>15</v>
      </c>
      <c r="C18" s="136">
        <f>C19+C20+C21+C22</f>
        <v>9.879999999999999</v>
      </c>
      <c r="D18" s="76">
        <v>406285.92</v>
      </c>
      <c r="E18" s="76">
        <v>409168.85</v>
      </c>
      <c r="F18" s="76">
        <f aca="true" t="shared" si="0" ref="F18:F26">D18</f>
        <v>406285.92</v>
      </c>
      <c r="G18" s="77">
        <f>D18-E18</f>
        <v>-2882.929999999993</v>
      </c>
      <c r="H18" s="78">
        <f aca="true" t="shared" si="1" ref="H18:H23"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142282.31611336034</v>
      </c>
      <c r="E19" s="83">
        <f>E18*I19</f>
        <v>143291.92520242915</v>
      </c>
      <c r="F19" s="83">
        <f t="shared" si="0"/>
        <v>142282.31611336034</v>
      </c>
      <c r="G19" s="84">
        <f>D19-E19</f>
        <v>-1009.6090890688065</v>
      </c>
      <c r="H19" s="78">
        <f t="shared" si="1"/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69496.27578947369</v>
      </c>
      <c r="E20" s="83">
        <f>E18*I20</f>
        <v>69989.40855263158</v>
      </c>
      <c r="F20" s="83">
        <f t="shared" si="0"/>
        <v>69496.27578947369</v>
      </c>
      <c r="G20" s="84">
        <f>D20-E20</f>
        <v>-493.1327631578897</v>
      </c>
      <c r="H20" s="78">
        <f t="shared" si="1"/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69496.27578947369</v>
      </c>
      <c r="E21" s="83">
        <f>E18*I21</f>
        <v>69989.40855263158</v>
      </c>
      <c r="F21" s="83">
        <f t="shared" si="0"/>
        <v>69496.27578947369</v>
      </c>
      <c r="G21" s="84">
        <f>D21-E21</f>
        <v>-493.1327631578897</v>
      </c>
      <c r="H21" s="78">
        <f t="shared" si="1"/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125011.05230769231</v>
      </c>
      <c r="E22" s="83">
        <f>E18*I22</f>
        <v>125898.10769230769</v>
      </c>
      <c r="F22" s="83">
        <f t="shared" si="0"/>
        <v>125011.05230769231</v>
      </c>
      <c r="G22" s="84">
        <f>D22-E22</f>
        <v>-887.055384615378</v>
      </c>
      <c r="H22" s="78">
        <f t="shared" si="1"/>
        <v>3.04</v>
      </c>
      <c r="I22" s="67">
        <f>H22/H18</f>
        <v>0.3076923076923077</v>
      </c>
    </row>
    <row r="23" spans="1:8" s="67" customFormat="1" ht="15">
      <c r="A23" s="41" t="s">
        <v>25</v>
      </c>
      <c r="B23" s="41" t="s">
        <v>26</v>
      </c>
      <c r="C23" s="136">
        <v>3.86</v>
      </c>
      <c r="D23" s="76">
        <v>157319.85</v>
      </c>
      <c r="E23" s="76">
        <v>158589.02</v>
      </c>
      <c r="F23" s="76">
        <f>D23</f>
        <v>157319.85</v>
      </c>
      <c r="G23" s="77">
        <f aca="true" t="shared" si="2" ref="G23:G33">D23-E23</f>
        <v>-1269.1699999999837</v>
      </c>
      <c r="H23" s="78">
        <f t="shared" si="1"/>
        <v>3.86</v>
      </c>
    </row>
    <row r="24" spans="1:7" ht="39.75" customHeight="1">
      <c r="A24" s="41" t="s">
        <v>27</v>
      </c>
      <c r="B24" s="86" t="s">
        <v>285</v>
      </c>
      <c r="C24" s="46">
        <v>2.51</v>
      </c>
      <c r="D24" s="77">
        <v>103140.24</v>
      </c>
      <c r="E24" s="77">
        <v>102082.68</v>
      </c>
      <c r="F24" s="77">
        <f t="shared" si="0"/>
        <v>103140.24</v>
      </c>
      <c r="G24" s="77">
        <f t="shared" si="2"/>
        <v>1057.5600000000122</v>
      </c>
    </row>
    <row r="25" spans="1:7" ht="15">
      <c r="A25" s="41" t="s">
        <v>29</v>
      </c>
      <c r="B25" s="86" t="s">
        <v>28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2"/>
        <v>0</v>
      </c>
    </row>
    <row r="26" spans="1:7" ht="15.75" customHeight="1">
      <c r="A26" s="41" t="s">
        <v>31</v>
      </c>
      <c r="B26" s="86" t="s">
        <v>163</v>
      </c>
      <c r="C26" s="142">
        <v>12.54</v>
      </c>
      <c r="D26" s="77">
        <v>0</v>
      </c>
      <c r="E26" s="77">
        <v>0</v>
      </c>
      <c r="F26" s="77">
        <f t="shared" si="0"/>
        <v>0</v>
      </c>
      <c r="G26" s="77">
        <f t="shared" si="2"/>
        <v>0</v>
      </c>
    </row>
    <row r="27" spans="1:7" ht="15">
      <c r="A27" s="41" t="s">
        <v>199</v>
      </c>
      <c r="B27" s="86" t="s">
        <v>116</v>
      </c>
      <c r="C27" s="97">
        <v>1.86</v>
      </c>
      <c r="D27" s="77">
        <v>76431</v>
      </c>
      <c r="E27" s="77">
        <v>77031.21</v>
      </c>
      <c r="F27" s="87">
        <f>F43</f>
        <v>155700.10210000002</v>
      </c>
      <c r="G27" s="77">
        <f t="shared" si="2"/>
        <v>-600.2100000000064</v>
      </c>
    </row>
    <row r="28" spans="1:7" ht="15">
      <c r="A28" s="41" t="s">
        <v>257</v>
      </c>
      <c r="B28" s="41" t="s">
        <v>34</v>
      </c>
      <c r="C28" s="46">
        <v>0</v>
      </c>
      <c r="D28" s="77">
        <v>0</v>
      </c>
      <c r="E28" s="77">
        <v>0</v>
      </c>
      <c r="F28" s="87">
        <v>0</v>
      </c>
      <c r="G28" s="77">
        <f t="shared" si="2"/>
        <v>0</v>
      </c>
    </row>
    <row r="29" spans="1:7" ht="15">
      <c r="A29" s="41" t="s">
        <v>204</v>
      </c>
      <c r="B29" s="41" t="s">
        <v>36</v>
      </c>
      <c r="C29" s="97"/>
      <c r="D29" s="77">
        <f>SUM(D30:D33)</f>
        <v>103111.25</v>
      </c>
      <c r="E29" s="77">
        <f>SUM(E30:E33)</f>
        <v>106929.92000000001</v>
      </c>
      <c r="F29" s="77">
        <f>SUM(F30:F33)</f>
        <v>103111.25</v>
      </c>
      <c r="G29" s="77">
        <f t="shared" si="2"/>
        <v>-3818.670000000013</v>
      </c>
    </row>
    <row r="30" spans="1:7" ht="15">
      <c r="A30" s="34" t="s">
        <v>206</v>
      </c>
      <c r="B30" s="34" t="s">
        <v>167</v>
      </c>
      <c r="C30" s="289" t="s">
        <v>406</v>
      </c>
      <c r="D30" s="84">
        <v>98292.02</v>
      </c>
      <c r="E30" s="84">
        <v>98745.99</v>
      </c>
      <c r="F30" s="84">
        <f>D30</f>
        <v>98292.02</v>
      </c>
      <c r="G30" s="84">
        <f t="shared" si="2"/>
        <v>-453.97000000000116</v>
      </c>
    </row>
    <row r="31" spans="1:7" ht="15">
      <c r="A31" s="34" t="s">
        <v>207</v>
      </c>
      <c r="B31" s="34" t="s">
        <v>138</v>
      </c>
      <c r="C31" s="289" t="s">
        <v>409</v>
      </c>
      <c r="D31" s="84">
        <v>4819.23</v>
      </c>
      <c r="E31" s="84">
        <v>8183.93</v>
      </c>
      <c r="F31" s="84">
        <f>D31</f>
        <v>4819.23</v>
      </c>
      <c r="G31" s="84">
        <f t="shared" si="2"/>
        <v>-3364.7000000000007</v>
      </c>
    </row>
    <row r="32" spans="1:9" s="38" customFormat="1" ht="15">
      <c r="A32" s="34" t="s">
        <v>208</v>
      </c>
      <c r="B32" s="34" t="s">
        <v>40</v>
      </c>
      <c r="C32" s="144"/>
      <c r="D32" s="84">
        <v>0</v>
      </c>
      <c r="E32" s="84">
        <v>0</v>
      </c>
      <c r="F32" s="84">
        <f>D32</f>
        <v>0</v>
      </c>
      <c r="G32" s="84">
        <f t="shared" si="2"/>
        <v>0</v>
      </c>
      <c r="H32" s="35"/>
      <c r="I32" s="35"/>
    </row>
    <row r="33" spans="1:7" ht="23.25" customHeight="1">
      <c r="A33" s="34" t="s">
        <v>209</v>
      </c>
      <c r="B33" s="34" t="s">
        <v>43</v>
      </c>
      <c r="C33" s="99"/>
      <c r="D33" s="84">
        <v>0</v>
      </c>
      <c r="E33" s="84">
        <v>0</v>
      </c>
      <c r="F33" s="84">
        <f>D33</f>
        <v>0</v>
      </c>
      <c r="G33" s="84">
        <f t="shared" si="2"/>
        <v>0</v>
      </c>
    </row>
    <row r="34" spans="1:7" ht="23.25" customHeight="1" thickBot="1">
      <c r="A34" s="379" t="s">
        <v>328</v>
      </c>
      <c r="B34" s="380"/>
      <c r="C34" s="380"/>
      <c r="D34" s="381"/>
      <c r="E34" s="381"/>
      <c r="F34" s="381"/>
      <c r="G34" s="171"/>
    </row>
    <row r="35" spans="1:10" s="102" customFormat="1" ht="14.25" thickBot="1">
      <c r="A35" s="391" t="s">
        <v>410</v>
      </c>
      <c r="B35" s="392"/>
      <c r="C35" s="392"/>
      <c r="D35" s="65">
        <v>195646.51</v>
      </c>
      <c r="E35" s="66"/>
      <c r="F35" s="66"/>
      <c r="G35" s="66"/>
      <c r="H35" s="101"/>
      <c r="I35" s="101"/>
      <c r="J35" s="101"/>
    </row>
    <row r="36" spans="1:9" s="67" customFormat="1" ht="15.75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412</v>
      </c>
      <c r="B37" s="64"/>
      <c r="C37" s="64"/>
      <c r="D37" s="69"/>
      <c r="E37" s="70"/>
      <c r="F37" s="70"/>
      <c r="G37" s="145">
        <f>G14+E28-F28</f>
        <v>0</v>
      </c>
      <c r="H37" s="62"/>
      <c r="I37" s="62"/>
    </row>
    <row r="38" spans="1:9" s="67" customFormat="1" ht="15.75" thickBot="1">
      <c r="A38" s="63" t="s">
        <v>413</v>
      </c>
      <c r="B38" s="64"/>
      <c r="C38" s="64"/>
      <c r="D38" s="69"/>
      <c r="E38" s="70"/>
      <c r="F38" s="70"/>
      <c r="G38" s="145">
        <f>G15+E27-F27</f>
        <v>-119505.06740000001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s="67" customFormat="1" ht="29.25" customHeight="1">
      <c r="A40" s="463" t="s">
        <v>44</v>
      </c>
      <c r="B40" s="463"/>
      <c r="C40" s="463"/>
      <c r="D40" s="463"/>
      <c r="E40" s="463"/>
      <c r="F40" s="463"/>
      <c r="G40" s="463"/>
      <c r="H40" s="463"/>
      <c r="I40" s="463"/>
    </row>
    <row r="41" ht="26.25" customHeight="1"/>
    <row r="42" spans="1:9" ht="28.5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  <c r="H42" s="172"/>
      <c r="I42" s="172"/>
    </row>
    <row r="43" spans="1:9" s="172" customFormat="1" ht="15">
      <c r="A43" s="109" t="s">
        <v>47</v>
      </c>
      <c r="B43" s="403" t="s">
        <v>111</v>
      </c>
      <c r="C43" s="425"/>
      <c r="D43" s="111"/>
      <c r="E43" s="111"/>
      <c r="F43" s="430">
        <f>SUM(F44:L49)</f>
        <v>155700.10210000002</v>
      </c>
      <c r="G43" s="419"/>
      <c r="H43" s="115"/>
      <c r="I43" s="115"/>
    </row>
    <row r="44" spans="1:9" s="115" customFormat="1" ht="27.75" customHeight="1">
      <c r="A44" s="34" t="s">
        <v>16</v>
      </c>
      <c r="B44" s="413" t="s">
        <v>632</v>
      </c>
      <c r="C44" s="423"/>
      <c r="D44" s="119"/>
      <c r="E44" s="349" t="s">
        <v>237</v>
      </c>
      <c r="F44" s="451">
        <v>87195.5</v>
      </c>
      <c r="G44" s="452"/>
      <c r="H44" s="35"/>
      <c r="I44" s="35"/>
    </row>
    <row r="45" spans="1:7" ht="26.25" customHeight="1">
      <c r="A45" s="34" t="s">
        <v>18</v>
      </c>
      <c r="B45" s="413" t="s">
        <v>378</v>
      </c>
      <c r="C45" s="423"/>
      <c r="D45" s="119"/>
      <c r="E45" s="349" t="s">
        <v>239</v>
      </c>
      <c r="F45" s="431">
        <v>1650</v>
      </c>
      <c r="G45" s="431"/>
    </row>
    <row r="46" spans="1:7" ht="27" customHeight="1">
      <c r="A46" s="34" t="s">
        <v>20</v>
      </c>
      <c r="B46" s="413" t="s">
        <v>633</v>
      </c>
      <c r="C46" s="423"/>
      <c r="D46" s="119"/>
      <c r="E46" s="349" t="s">
        <v>634</v>
      </c>
      <c r="F46" s="451">
        <v>8400</v>
      </c>
      <c r="G46" s="452"/>
    </row>
    <row r="47" spans="1:7" ht="18" customHeight="1">
      <c r="A47" s="34" t="s">
        <v>22</v>
      </c>
      <c r="B47" s="413" t="s">
        <v>562</v>
      </c>
      <c r="C47" s="423"/>
      <c r="D47" s="349" t="s">
        <v>166</v>
      </c>
      <c r="E47" s="349">
        <v>5</v>
      </c>
      <c r="F47" s="451">
        <v>52684.29</v>
      </c>
      <c r="G47" s="452"/>
    </row>
    <row r="48" spans="1:7" ht="13.5" customHeight="1">
      <c r="A48" s="34" t="s">
        <v>24</v>
      </c>
      <c r="B48" s="382" t="s">
        <v>730</v>
      </c>
      <c r="C48" s="384"/>
      <c r="D48" s="119"/>
      <c r="E48" s="119"/>
      <c r="F48" s="446">
        <v>5000</v>
      </c>
      <c r="G48" s="447"/>
    </row>
    <row r="49" spans="1:7" s="67" customFormat="1" ht="15">
      <c r="A49" s="34" t="s">
        <v>103</v>
      </c>
      <c r="B49" s="149" t="s">
        <v>191</v>
      </c>
      <c r="C49" s="150"/>
      <c r="D49" s="119"/>
      <c r="E49" s="119"/>
      <c r="F49" s="429">
        <f>E27*1%</f>
        <v>770.3121000000001</v>
      </c>
      <c r="G49" s="429"/>
    </row>
    <row r="50" spans="8:9" s="67" customFormat="1" ht="15">
      <c r="H50" s="35"/>
      <c r="I50" s="35"/>
    </row>
    <row r="51" spans="8:9" s="67" customFormat="1" ht="15">
      <c r="H51" s="35"/>
      <c r="I51" s="35"/>
    </row>
    <row r="52" spans="1:9" s="67" customFormat="1" ht="15">
      <c r="A52" s="67" t="s">
        <v>55</v>
      </c>
      <c r="C52" s="67" t="s">
        <v>49</v>
      </c>
      <c r="F52" s="67" t="s">
        <v>90</v>
      </c>
      <c r="H52" s="35"/>
      <c r="I52" s="35"/>
    </row>
    <row r="53" s="67" customFormat="1" ht="15">
      <c r="F53" s="127" t="s">
        <v>438</v>
      </c>
    </row>
    <row r="54" spans="1:7" ht="15">
      <c r="A54" s="67" t="s">
        <v>50</v>
      </c>
      <c r="B54" s="67"/>
      <c r="C54" s="67"/>
      <c r="D54" s="67"/>
      <c r="E54" s="67"/>
      <c r="F54" s="67"/>
      <c r="G54" s="67"/>
    </row>
    <row r="55" spans="1:7" ht="15">
      <c r="A55" s="67"/>
      <c r="B55" s="67"/>
      <c r="C55" s="129" t="s">
        <v>51</v>
      </c>
      <c r="D55" s="67"/>
      <c r="E55" s="129"/>
      <c r="F55" s="129"/>
      <c r="G55" s="129"/>
    </row>
    <row r="56" spans="1:7" ht="15">
      <c r="A56" s="67"/>
      <c r="B56" s="67"/>
      <c r="C56" s="67"/>
      <c r="D56" s="67"/>
      <c r="E56" s="67"/>
      <c r="F56" s="67"/>
      <c r="G56" s="67"/>
    </row>
  </sheetData>
  <sheetProtection/>
  <mergeCells count="25">
    <mergeCell ref="B47:C47"/>
    <mergeCell ref="F47:G47"/>
    <mergeCell ref="F49:G49"/>
    <mergeCell ref="B46:C46"/>
    <mergeCell ref="F46:G46"/>
    <mergeCell ref="B48:C48"/>
    <mergeCell ref="F48:G48"/>
    <mergeCell ref="B43:C43"/>
    <mergeCell ref="F43:G43"/>
    <mergeCell ref="B44:C44"/>
    <mergeCell ref="F44:G44"/>
    <mergeCell ref="B45:C45"/>
    <mergeCell ref="F45:G45"/>
    <mergeCell ref="A12:I12"/>
    <mergeCell ref="A35:C35"/>
    <mergeCell ref="A40:I40"/>
    <mergeCell ref="B42:C42"/>
    <mergeCell ref="F42:G42"/>
    <mergeCell ref="A34:F34"/>
    <mergeCell ref="A1:I1"/>
    <mergeCell ref="A2:I2"/>
    <mergeCell ref="A3:K3"/>
    <mergeCell ref="A5:I5"/>
    <mergeCell ref="A10:I10"/>
    <mergeCell ref="A11:I11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7030A0"/>
  </sheetPr>
  <dimension ref="A1:K55"/>
  <sheetViews>
    <sheetView zoomScalePageLayoutView="0" workbookViewId="0" topLeftCell="A40">
      <selection activeCell="F48" sqref="F48:G48"/>
    </sheetView>
  </sheetViews>
  <sheetFormatPr defaultColWidth="9.140625" defaultRowHeight="15" outlineLevelCol="1"/>
  <cols>
    <col min="1" max="1" width="4.7109375" style="35" customWidth="1"/>
    <col min="2" max="2" width="44.28125" style="35" customWidth="1"/>
    <col min="3" max="3" width="12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3.42187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6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4.2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3" customHeight="1"/>
    <row r="7" spans="1:6" s="67" customFormat="1" ht="16.5" customHeight="1">
      <c r="A7" s="67" t="s">
        <v>2</v>
      </c>
      <c r="F7" s="127" t="s">
        <v>128</v>
      </c>
    </row>
    <row r="8" spans="1:6" s="67" customFormat="1" ht="15">
      <c r="A8" s="67" t="s">
        <v>3</v>
      </c>
      <c r="F8" s="295" t="s">
        <v>347</v>
      </c>
    </row>
    <row r="9" s="67" customFormat="1" ht="6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'[1]Билибина 28'!$G$35</f>
        <v>0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'[1]Билибина 28'!$G$36</f>
        <v>8160.954299999998</v>
      </c>
      <c r="H15" s="62"/>
      <c r="I15" s="62"/>
    </row>
    <row r="16" s="67" customFormat="1" ht="6.7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67" customFormat="1" ht="29.25">
      <c r="A18" s="75" t="s">
        <v>14</v>
      </c>
      <c r="B18" s="41" t="s">
        <v>15</v>
      </c>
      <c r="C18" s="136">
        <f>C19+C20+C21+C22</f>
        <v>9.879999999999999</v>
      </c>
      <c r="D18" s="76">
        <v>371863.08</v>
      </c>
      <c r="E18" s="76">
        <v>372339.19</v>
      </c>
      <c r="F18" s="76">
        <f aca="true" t="shared" si="0" ref="F18:F25">D18</f>
        <v>371863.08</v>
      </c>
      <c r="G18" s="77">
        <f>D18-E18</f>
        <v>-476.10999999998603</v>
      </c>
      <c r="H18" s="78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130227.35392712553</v>
      </c>
      <c r="E19" s="83">
        <f>E18*I19</f>
        <v>130394.08880566803</v>
      </c>
      <c r="F19" s="83">
        <f t="shared" si="0"/>
        <v>130227.35392712553</v>
      </c>
      <c r="G19" s="84">
        <f>D19-E19</f>
        <v>-166.73487854249834</v>
      </c>
      <c r="H19" s="78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63608.158421052634</v>
      </c>
      <c r="E20" s="83">
        <f>E18*I20</f>
        <v>63689.59828947369</v>
      </c>
      <c r="F20" s="83">
        <f t="shared" si="0"/>
        <v>63608.158421052634</v>
      </c>
      <c r="G20" s="84">
        <f>D20-E20</f>
        <v>-81.43986842105369</v>
      </c>
      <c r="H20" s="78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63608.158421052634</v>
      </c>
      <c r="E21" s="83">
        <f>E18*I21</f>
        <v>63689.59828947369</v>
      </c>
      <c r="F21" s="83">
        <f t="shared" si="0"/>
        <v>63608.158421052634</v>
      </c>
      <c r="G21" s="84">
        <f>D21-E21</f>
        <v>-81.43986842105369</v>
      </c>
      <c r="H21" s="78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114419.40923076925</v>
      </c>
      <c r="E22" s="83">
        <f>E18*I22</f>
        <v>114565.90461538463</v>
      </c>
      <c r="F22" s="83">
        <f t="shared" si="0"/>
        <v>114419.40923076925</v>
      </c>
      <c r="G22" s="84">
        <f>D22-E22</f>
        <v>-146.49538461538032</v>
      </c>
      <c r="H22" s="78">
        <f>C22</f>
        <v>3.04</v>
      </c>
      <c r="I22" s="67">
        <f>H22/H18</f>
        <v>0.3076923076923077</v>
      </c>
    </row>
    <row r="23" spans="1:7" ht="39.75" customHeight="1">
      <c r="A23" s="41" t="s">
        <v>25</v>
      </c>
      <c r="B23" s="141" t="s">
        <v>254</v>
      </c>
      <c r="C23" s="46" t="s">
        <v>253</v>
      </c>
      <c r="D23" s="77">
        <v>107640</v>
      </c>
      <c r="E23" s="77">
        <v>105513.77</v>
      </c>
      <c r="F23" s="77">
        <f t="shared" si="0"/>
        <v>107640</v>
      </c>
      <c r="G23" s="77">
        <f aca="true" t="shared" si="1" ref="G23:G32">D23-E23</f>
        <v>2126.229999999996</v>
      </c>
    </row>
    <row r="24" spans="1:7" ht="1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ht="15.75" customHeight="1">
      <c r="A25" s="41" t="s">
        <v>29</v>
      </c>
      <c r="B25" s="141" t="s">
        <v>163</v>
      </c>
      <c r="C25" s="142">
        <v>0</v>
      </c>
      <c r="D25" s="77">
        <v>0</v>
      </c>
      <c r="E25" s="77">
        <v>0</v>
      </c>
      <c r="F25" s="77">
        <f t="shared" si="0"/>
        <v>0</v>
      </c>
      <c r="G25" s="77">
        <f t="shared" si="1"/>
        <v>0</v>
      </c>
    </row>
    <row r="26" spans="1:7" ht="15">
      <c r="A26" s="41" t="s">
        <v>31</v>
      </c>
      <c r="B26" s="141" t="s">
        <v>116</v>
      </c>
      <c r="C26" s="97">
        <v>1.86</v>
      </c>
      <c r="D26" s="77">
        <v>70006.2</v>
      </c>
      <c r="E26" s="77">
        <v>69879.57</v>
      </c>
      <c r="F26" s="87">
        <f>F41</f>
        <v>63168.7957</v>
      </c>
      <c r="G26" s="77">
        <f t="shared" si="1"/>
        <v>126.6299999999901</v>
      </c>
    </row>
    <row r="27" spans="1:7" ht="15">
      <c r="A27" s="41" t="s">
        <v>33</v>
      </c>
      <c r="B27" s="135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1"/>
        <v>0</v>
      </c>
    </row>
    <row r="28" spans="1:7" ht="15">
      <c r="A28" s="41" t="s">
        <v>35</v>
      </c>
      <c r="B28" s="135" t="s">
        <v>36</v>
      </c>
      <c r="C28" s="97"/>
      <c r="D28" s="77">
        <f>SUM(D29:D32)</f>
        <v>1306354.1400000001</v>
      </c>
      <c r="E28" s="77">
        <f>SUM(E29:E32)</f>
        <v>1311044</v>
      </c>
      <c r="F28" s="77">
        <f>SUM(F29:F32)</f>
        <v>1306354.1400000001</v>
      </c>
      <c r="G28" s="77">
        <f t="shared" si="1"/>
        <v>-4689.85999999987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36786.44</v>
      </c>
      <c r="E29" s="84">
        <v>36486.93</v>
      </c>
      <c r="F29" s="84">
        <f>D29</f>
        <v>36786.44</v>
      </c>
      <c r="G29" s="84">
        <f t="shared" si="1"/>
        <v>299.51000000000204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435776.27</v>
      </c>
      <c r="E30" s="84">
        <v>442586.58</v>
      </c>
      <c r="F30" s="84">
        <f>D30</f>
        <v>435776.27</v>
      </c>
      <c r="G30" s="84">
        <f t="shared" si="1"/>
        <v>-6810.309999999998</v>
      </c>
    </row>
    <row r="31" spans="1:9" s="38" customFormat="1" ht="15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  <c r="H31" s="35"/>
      <c r="I31" s="35"/>
    </row>
    <row r="32" spans="1:7" ht="23.25" customHeight="1" thickBot="1">
      <c r="A32" s="34" t="s">
        <v>41</v>
      </c>
      <c r="B32" s="34" t="s">
        <v>43</v>
      </c>
      <c r="C32" s="289" t="s">
        <v>476</v>
      </c>
      <c r="D32" s="84">
        <v>833791.43</v>
      </c>
      <c r="E32" s="84">
        <v>831970.49</v>
      </c>
      <c r="F32" s="84">
        <f>D32</f>
        <v>833791.43</v>
      </c>
      <c r="G32" s="84">
        <f t="shared" si="1"/>
        <v>1820.9400000000605</v>
      </c>
    </row>
    <row r="33" spans="1:10" s="102" customFormat="1" ht="14.25" thickBot="1">
      <c r="A33" s="391" t="s">
        <v>410</v>
      </c>
      <c r="B33" s="392"/>
      <c r="C33" s="392"/>
      <c r="D33" s="65">
        <v>720286.46</v>
      </c>
      <c r="E33" s="66"/>
      <c r="F33" s="66"/>
      <c r="G33" s="66"/>
      <c r="H33" s="101"/>
      <c r="I33" s="101"/>
      <c r="J33" s="101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412</v>
      </c>
      <c r="B35" s="64"/>
      <c r="C35" s="64"/>
      <c r="D35" s="69"/>
      <c r="E35" s="70"/>
      <c r="F35" s="70"/>
      <c r="G35" s="145">
        <f>G14+E27-F27</f>
        <v>0</v>
      </c>
      <c r="H35" s="62"/>
      <c r="I35" s="62"/>
    </row>
    <row r="36" spans="1:9" s="67" customFormat="1" ht="15.75" thickBot="1">
      <c r="A36" s="63" t="s">
        <v>413</v>
      </c>
      <c r="B36" s="64"/>
      <c r="C36" s="64"/>
      <c r="D36" s="69"/>
      <c r="E36" s="70"/>
      <c r="F36" s="70"/>
      <c r="G36" s="145">
        <f>G15+E26-F26</f>
        <v>14871.728600000002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s="67" customFormat="1" ht="29.25" customHeight="1">
      <c r="A38" s="463" t="s">
        <v>44</v>
      </c>
      <c r="B38" s="463"/>
      <c r="C38" s="463"/>
      <c r="D38" s="463"/>
      <c r="E38" s="463"/>
      <c r="F38" s="463"/>
      <c r="G38" s="463"/>
      <c r="H38" s="463"/>
      <c r="I38" s="463"/>
    </row>
    <row r="39" ht="26.25" customHeight="1"/>
    <row r="40" spans="1:9" ht="28.5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401" t="s">
        <v>46</v>
      </c>
      <c r="G40" s="420"/>
      <c r="H40" s="172"/>
      <c r="I40" s="172"/>
    </row>
    <row r="41" spans="1:9" s="172" customFormat="1" ht="15">
      <c r="A41" s="109" t="s">
        <v>47</v>
      </c>
      <c r="B41" s="403" t="s">
        <v>111</v>
      </c>
      <c r="C41" s="425"/>
      <c r="D41" s="111"/>
      <c r="E41" s="111"/>
      <c r="F41" s="430">
        <f>SUM(F42:L48)</f>
        <v>63168.7957</v>
      </c>
      <c r="G41" s="419"/>
      <c r="H41" s="115"/>
      <c r="I41" s="115"/>
    </row>
    <row r="42" spans="1:9" s="115" customFormat="1" ht="27.75" customHeight="1">
      <c r="A42" s="34" t="s">
        <v>16</v>
      </c>
      <c r="B42" s="413" t="s">
        <v>629</v>
      </c>
      <c r="C42" s="423"/>
      <c r="D42" s="119"/>
      <c r="E42" s="349" t="s">
        <v>630</v>
      </c>
      <c r="F42" s="451">
        <v>1650</v>
      </c>
      <c r="G42" s="452"/>
      <c r="H42" s="35"/>
      <c r="I42" s="35"/>
    </row>
    <row r="43" spans="1:7" ht="13.5" customHeight="1">
      <c r="A43" s="34" t="s">
        <v>18</v>
      </c>
      <c r="B43" s="413" t="s">
        <v>631</v>
      </c>
      <c r="C43" s="423"/>
      <c r="D43" s="349" t="s">
        <v>548</v>
      </c>
      <c r="E43" s="349">
        <v>3</v>
      </c>
      <c r="F43" s="431">
        <v>1320</v>
      </c>
      <c r="G43" s="431"/>
    </row>
    <row r="44" spans="1:7" ht="13.5" customHeight="1">
      <c r="A44" s="34" t="s">
        <v>20</v>
      </c>
      <c r="B44" s="382" t="s">
        <v>711</v>
      </c>
      <c r="C44" s="384"/>
      <c r="D44" s="119"/>
      <c r="E44" s="119"/>
      <c r="F44" s="446">
        <v>16000</v>
      </c>
      <c r="G44" s="447"/>
    </row>
    <row r="45" spans="1:7" ht="13.5" customHeight="1">
      <c r="A45" s="34" t="s">
        <v>22</v>
      </c>
      <c r="B45" s="382" t="s">
        <v>731</v>
      </c>
      <c r="C45" s="432"/>
      <c r="D45" s="119"/>
      <c r="E45" s="119"/>
      <c r="F45" s="446">
        <v>13200</v>
      </c>
      <c r="G45" s="447"/>
    </row>
    <row r="46" spans="1:7" ht="13.5" customHeight="1">
      <c r="A46" s="34" t="s">
        <v>24</v>
      </c>
      <c r="B46" s="382" t="s">
        <v>716</v>
      </c>
      <c r="C46" s="432"/>
      <c r="D46" s="119"/>
      <c r="E46" s="153"/>
      <c r="F46" s="424">
        <v>1300</v>
      </c>
      <c r="G46" s="424"/>
    </row>
    <row r="47" spans="1:7" ht="13.5" customHeight="1">
      <c r="A47" s="34" t="s">
        <v>103</v>
      </c>
      <c r="B47" s="382" t="s">
        <v>714</v>
      </c>
      <c r="C47" s="432"/>
      <c r="D47" s="119"/>
      <c r="E47" s="153"/>
      <c r="F47" s="424">
        <v>29000</v>
      </c>
      <c r="G47" s="424"/>
    </row>
    <row r="48" spans="1:7" s="67" customFormat="1" ht="15">
      <c r="A48" s="34" t="s">
        <v>104</v>
      </c>
      <c r="B48" s="149" t="s">
        <v>191</v>
      </c>
      <c r="C48" s="150"/>
      <c r="D48" s="119"/>
      <c r="E48" s="119"/>
      <c r="F48" s="429">
        <f>E26*1%</f>
        <v>698.7957000000001</v>
      </c>
      <c r="G48" s="429"/>
    </row>
    <row r="49" spans="8:9" s="67" customFormat="1" ht="15">
      <c r="H49" s="35"/>
      <c r="I49" s="35"/>
    </row>
    <row r="50" spans="8:9" s="67" customFormat="1" ht="15">
      <c r="H50" s="35"/>
      <c r="I50" s="35"/>
    </row>
    <row r="51" spans="1:9" s="67" customFormat="1" ht="15">
      <c r="A51" s="67" t="s">
        <v>55</v>
      </c>
      <c r="C51" s="67" t="s">
        <v>49</v>
      </c>
      <c r="F51" s="67" t="s">
        <v>90</v>
      </c>
      <c r="H51" s="35"/>
      <c r="I51" s="35"/>
    </row>
    <row r="52" s="67" customFormat="1" ht="15">
      <c r="F52" s="127" t="s">
        <v>438</v>
      </c>
    </row>
    <row r="53" spans="1:7" ht="15">
      <c r="A53" s="67" t="s">
        <v>50</v>
      </c>
      <c r="B53" s="67"/>
      <c r="C53" s="67"/>
      <c r="D53" s="67"/>
      <c r="E53" s="67"/>
      <c r="F53" s="67"/>
      <c r="G53" s="67"/>
    </row>
    <row r="54" spans="1:7" ht="15">
      <c r="A54" s="67"/>
      <c r="B54" s="67"/>
      <c r="C54" s="129" t="s">
        <v>51</v>
      </c>
      <c r="D54" s="67"/>
      <c r="E54" s="129"/>
      <c r="F54" s="129"/>
      <c r="G54" s="129"/>
    </row>
    <row r="55" spans="1:7" ht="15">
      <c r="A55" s="67"/>
      <c r="B55" s="67"/>
      <c r="C55" s="67"/>
      <c r="D55" s="67"/>
      <c r="E55" s="67"/>
      <c r="F55" s="67"/>
      <c r="G55" s="67"/>
    </row>
  </sheetData>
  <sheetProtection/>
  <mergeCells count="26">
    <mergeCell ref="A12:I12"/>
    <mergeCell ref="A38:I38"/>
    <mergeCell ref="F40:G40"/>
    <mergeCell ref="B40:C40"/>
    <mergeCell ref="B46:C46"/>
    <mergeCell ref="F46:G46"/>
    <mergeCell ref="B45:C45"/>
    <mergeCell ref="F45:G45"/>
    <mergeCell ref="A1:I1"/>
    <mergeCell ref="A2:I2"/>
    <mergeCell ref="A3:K3"/>
    <mergeCell ref="A5:I5"/>
    <mergeCell ref="F42:G42"/>
    <mergeCell ref="A33:C33"/>
    <mergeCell ref="A10:I10"/>
    <mergeCell ref="A11:I11"/>
    <mergeCell ref="B41:C41"/>
    <mergeCell ref="B42:C42"/>
    <mergeCell ref="F48:G48"/>
    <mergeCell ref="B44:C44"/>
    <mergeCell ref="F44:G44"/>
    <mergeCell ref="F41:G41"/>
    <mergeCell ref="F43:G43"/>
    <mergeCell ref="B43:C43"/>
    <mergeCell ref="B47:C47"/>
    <mergeCell ref="F47:G47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F46" sqref="F46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3.421875" style="1" customWidth="1"/>
    <col min="5" max="5" width="13.00390625" style="1" customWidth="1"/>
    <col min="6" max="6" width="11.57421875" style="1" customWidth="1"/>
    <col min="7" max="7" width="12.00390625" style="1" customWidth="1"/>
    <col min="8" max="8" width="12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527" t="s">
        <v>0</v>
      </c>
      <c r="B1" s="527"/>
      <c r="C1" s="527"/>
      <c r="D1" s="527"/>
      <c r="E1" s="527"/>
      <c r="F1" s="527"/>
      <c r="G1" s="527"/>
      <c r="H1" s="527"/>
      <c r="I1" s="527"/>
    </row>
    <row r="2" spans="1:9" ht="15">
      <c r="A2" s="527" t="s">
        <v>52</v>
      </c>
      <c r="B2" s="527"/>
      <c r="C2" s="527"/>
      <c r="D2" s="527"/>
      <c r="E2" s="527"/>
      <c r="F2" s="527"/>
      <c r="G2" s="527"/>
      <c r="H2" s="527"/>
      <c r="I2" s="527"/>
    </row>
    <row r="3" spans="1:9" ht="15">
      <c r="A3" s="527" t="s">
        <v>95</v>
      </c>
      <c r="B3" s="527"/>
      <c r="C3" s="527"/>
      <c r="D3" s="527"/>
      <c r="E3" s="527"/>
      <c r="F3" s="527"/>
      <c r="G3" s="527"/>
      <c r="H3" s="527"/>
      <c r="I3" s="527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528" t="s">
        <v>1</v>
      </c>
      <c r="B5" s="527"/>
      <c r="C5" s="527"/>
      <c r="D5" s="527"/>
      <c r="E5" s="527"/>
      <c r="F5" s="527"/>
      <c r="G5" s="527"/>
      <c r="H5" s="527"/>
      <c r="I5" s="527"/>
    </row>
    <row r="7" spans="1:6" s="3" customFormat="1" ht="15">
      <c r="A7" s="3" t="s">
        <v>2</v>
      </c>
      <c r="F7" s="4"/>
    </row>
    <row r="8" spans="1:6" s="3" customFormat="1" ht="15">
      <c r="A8" s="3" t="s">
        <v>3</v>
      </c>
      <c r="F8" s="4"/>
    </row>
    <row r="9" s="3" customFormat="1" ht="15">
      <c r="A9" s="3" t="s">
        <v>4</v>
      </c>
    </row>
    <row r="10" spans="1:6" s="3" customFormat="1" ht="15">
      <c r="A10" s="3" t="s">
        <v>5</v>
      </c>
      <c r="F10" s="4" t="s">
        <v>6</v>
      </c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508" t="s">
        <v>8</v>
      </c>
      <c r="B13" s="508"/>
      <c r="C13" s="508"/>
      <c r="D13" s="508"/>
      <c r="E13" s="508"/>
      <c r="F13" s="508"/>
      <c r="G13" s="508"/>
      <c r="H13" s="508"/>
      <c r="I13" s="508"/>
    </row>
    <row r="14" spans="1:9" s="3" customFormat="1" ht="15">
      <c r="A14" s="508" t="s">
        <v>9</v>
      </c>
      <c r="B14" s="508"/>
      <c r="C14" s="508"/>
      <c r="D14" s="508"/>
      <c r="E14" s="508"/>
      <c r="F14" s="508"/>
      <c r="G14" s="508"/>
      <c r="H14" s="508"/>
      <c r="I14" s="508"/>
    </row>
    <row r="15" spans="1:9" s="3" customFormat="1" ht="15">
      <c r="A15" s="508" t="s">
        <v>10</v>
      </c>
      <c r="B15" s="508"/>
      <c r="C15" s="508"/>
      <c r="D15" s="508"/>
      <c r="E15" s="508"/>
      <c r="F15" s="508"/>
      <c r="G15" s="508"/>
      <c r="H15" s="508"/>
      <c r="I15" s="508"/>
    </row>
    <row r="16" s="3" customFormat="1" ht="15"/>
    <row r="17" spans="1:7" s="14" customFormat="1" ht="52.5" customHeight="1">
      <c r="A17" s="5" t="s">
        <v>11</v>
      </c>
      <c r="B17" s="5" t="s">
        <v>12</v>
      </c>
      <c r="C17" s="5" t="s">
        <v>91</v>
      </c>
      <c r="D17" s="5" t="s">
        <v>112</v>
      </c>
      <c r="E17" s="5" t="s">
        <v>113</v>
      </c>
      <c r="F17" s="13" t="s">
        <v>114</v>
      </c>
      <c r="G17" s="5" t="s">
        <v>115</v>
      </c>
    </row>
    <row r="18" spans="1:9" s="3" customFormat="1" ht="30">
      <c r="A18" s="6" t="s">
        <v>14</v>
      </c>
      <c r="B18" s="7" t="s">
        <v>15</v>
      </c>
      <c r="C18" s="25">
        <v>6.75</v>
      </c>
      <c r="D18" s="8" t="e">
        <f>'Телевизионная 2а'!D17+'Пионерская 16'!D18+' Пионерская 1318 кв.1-50'!D18+'Багговута 12'!D18+'Пионерская 15'!D17+'Социалистическая 3'!D18+'Социалистическая 4'!D18+'Социалистическая 6'!D18+'Социалистическая 6 к.1'!D18+'Социалистическая 9'!D18+'Социалистическая 12'!D18+'Телевизионная 2'!D18+'Телевизионная 4'!D18+'Чичерина 7а'!D18+'Чичерина 8'!D18+#REF!+'Чичерина 16 к. 1'!D18+'пер.Чичерина 24'!D18+'пер. Чичерина 28'!D18+'Калинина 12'!D18+'Калинина 18'!D18+'Калинина 23'!D18+'Пионерская 9'!D18+'Высокая 4'!D18+'Пухова 15'!D18+#REF!+#REF!+'Пухова 17'!D18+'Калинина 4'!D18+'Пионерская 18'!D18+'Чичерина 12 к.1'!D18+'Телевизионная 6 к.1'!D18+#REF!+'Пионерская 2'!D18+'Телевизионная 2 к.1'!D18+'Чичерина 16'!D18+'Чичерина 22'!D18+#REF!+'Ленина 68,8'!D18+'Ленина 67'!D18+'Огарева 20'!D17+'Пролетарская 40'!D17+'Чижевского 4'!D18</f>
        <v>#REF!</v>
      </c>
      <c r="E18" s="8" t="e">
        <f>'Телевизионная 2а'!E17+'Пионерская 16'!E18+' Пионерская 1318 кв.1-50'!E18+'Багговута 12'!E18+'Пионерская 15'!E17+'Социалистическая 3'!E18+'Социалистическая 4'!E18+'Социалистическая 6'!E18+'Социалистическая 6 к.1'!E18+'Социалистическая 9'!E18+'Социалистическая 12'!E18+'Телевизионная 2'!E18+'Телевизионная 4'!E18+'Чичерина 7а'!E18+'Чичерина 8'!E18+#REF!+'Чичерина 16 к. 1'!E18+'пер.Чичерина 24'!E18+'пер. Чичерина 28'!E18+'Калинина 12'!E18+'Калинина 18'!E18+'Калинина 23'!E18+'Пионерская 9'!E18+'Высокая 4'!E18+'Пухова 15'!E18+#REF!+#REF!+'Пухова 17'!E18+'Калинина 4'!E18+'Пионерская 18'!E18+'Чичерина 12 к.1'!E18+'Телевизионная 6 к.1'!E18+#REF!+'Пионерская 2'!E18+'Телевизионная 2 к.1'!E18+'Чичерина 16'!E18+'Чичерина 22'!E18+#REF!+'Ленина 68,8'!E18+'Ленина 67'!E18+'Огарева 20'!E17+'Пролетарская 40'!E17+'Чижевского 4'!E18</f>
        <v>#REF!</v>
      </c>
      <c r="F18" s="8" t="e">
        <f>'Телевизионная 2а'!F17+'Пионерская 16'!F18+' Пионерская 1318 кв.1-50'!F18+'Багговута 12'!F18+'Пионерская 15'!F17+'Социалистическая 3'!F18+'Социалистическая 4'!F18+'Социалистическая 6'!F18+'Социалистическая 6 к.1'!F18+'Социалистическая 9'!F18+'Социалистическая 12'!F18+'Телевизионная 2'!F18+'Телевизионная 4'!F18+'Чичерина 7а'!F18+'Чичерина 8'!F18+#REF!+'Чичерина 16 к. 1'!F18+'пер.Чичерина 24'!F18+'пер. Чичерина 28'!F18+'Калинина 12'!F18+'Калинина 18'!F18+'Калинина 23'!F18+'Пионерская 9'!F18+'Высокая 4'!F18+'Пухова 15'!F18+#REF!+#REF!+'Пухова 17'!F18+'Калинина 4'!F18+'Пионерская 18'!F18+'Чичерина 12 к.1'!F18+'Телевизионная 6 к.1'!F18+#REF!+'Пионерская 2'!F18+'Телевизионная 2 к.1'!F18+'Чичерина 16'!F18+'Чичерина 22'!F18+#REF!+'Ленина 68,8'!F18+'Ленина 67'!F18+'Огарева 20'!F17+'Пролетарская 40'!F17+'Чижевского 4'!F18</f>
        <v>#REF!</v>
      </c>
      <c r="G18" s="8" t="e">
        <f>'Телевизионная 2а'!G17+'Пионерская 16'!G18+' Пионерская 1318 кв.1-50'!G18+'Багговута 12'!G18+'Пионерская 15'!G17+'Социалистическая 3'!G18+'Социалистическая 4'!G18+'Социалистическая 6'!G18+'Социалистическая 6 к.1'!G18+'Социалистическая 9'!G18+'Социалистическая 12'!G18+'Телевизионная 2'!G18+'Телевизионная 4'!G18+'Чичерина 7а'!G18+'Чичерина 8'!G18+#REF!+'Чичерина 16 к. 1'!G18+'пер.Чичерина 24'!G18+'пер. Чичерина 28'!G18+'Калинина 12'!G18+'Калинина 18'!G18+'Калинина 23'!G18+'Пионерская 9'!G18+'Высокая 4'!G18+'Пухова 15'!G18+#REF!+#REF!+'Пухова 17'!G18+'Калинина 4'!G18+'Пионерская 18'!G18+'Чичерина 12 к.1'!G18+'Телевизионная 6 к.1'!G18+#REF!+'Пионерская 2'!G18+'Телевизионная 2 к.1'!G18+'Чичерина 16'!G18+'Чичерина 22'!G18+#REF!+'Ленина 68,8'!G18+'Ленина 67'!G18+'Огарева 20'!G17+'Пролетарская 40'!G17+'Чижевского 4'!G18</f>
        <v>#REF!</v>
      </c>
      <c r="H18" s="28">
        <v>6.75</v>
      </c>
      <c r="I18" s="11"/>
    </row>
    <row r="19" spans="1:9" s="3" customFormat="1" ht="30">
      <c r="A19" s="6" t="s">
        <v>16</v>
      </c>
      <c r="B19" s="7" t="s">
        <v>17</v>
      </c>
      <c r="C19" s="25">
        <v>2.41</v>
      </c>
      <c r="D19" s="8" t="e">
        <f>'Телевизионная 2а'!D18+'Пионерская 16'!D19+' Пионерская 1318 кв.1-50'!D19+'Багговута 12'!D19+'Пионерская 15'!D18+'Социалистическая 3'!D19+'Социалистическая 4'!D19+'Социалистическая 6'!D19+'Социалистическая 6 к.1'!D19+'Социалистическая 9'!D19+'Социалистическая 12'!D19+'Телевизионная 2'!D19+'Телевизионная 4'!D19+'Чичерина 7а'!D19+'Чичерина 8'!D19+#REF!+'Чичерина 16 к. 1'!D19+'пер.Чичерина 24'!D19+'пер. Чичерина 28'!D19+'Калинина 12'!D19+'Калинина 18'!D19+'Калинина 23'!D19+'Пионерская 9'!D19+'Высокая 4'!D19+'Пухова 15'!D19+#REF!+#REF!+'Пухова 17'!D19+'Калинина 4'!D19+'Пионерская 18'!D19+'Чичерина 12 к.1'!D19+'Телевизионная 6 к.1'!D19+#REF!+'Пионерская 2'!D19+'Телевизионная 2 к.1'!D19+'Чичерина 16'!D19+'Чичерина 22'!D19+#REF!+'Ленина 68,8'!D19+'Ленина 67'!D19+'Огарева 20'!D18+'Пролетарская 40'!D18+'Чижевского 4'!D19</f>
        <v>#REF!</v>
      </c>
      <c r="E19" s="8" t="e">
        <f>'Телевизионная 2а'!E18+'Пионерская 16'!E19+' Пионерская 1318 кв.1-50'!E19+'Багговута 12'!E19+'Пионерская 15'!E18+'Социалистическая 3'!E19+'Социалистическая 4'!E19+'Социалистическая 6'!E19+'Социалистическая 6 к.1'!E19+'Социалистическая 9'!E19+'Социалистическая 12'!E19+'Телевизионная 2'!E19+'Телевизионная 4'!E19+'Чичерина 7а'!E19+'Чичерина 8'!E19+#REF!+'Чичерина 16 к. 1'!E19+'пер.Чичерина 24'!E19+'пер. Чичерина 28'!E19+'Калинина 12'!E19+'Калинина 18'!E19+'Калинина 23'!E19+'Пионерская 9'!E19+'Высокая 4'!E19+'Пухова 15'!E19+#REF!+#REF!+'Пухова 17'!E19+'Калинина 4'!E19+'Пионерская 18'!E19+'Чичерина 12 к.1'!E19+'Телевизионная 6 к.1'!E19+#REF!+'Пионерская 2'!E19+'Телевизионная 2 к.1'!E19+'Чичерина 16'!E19+'Чичерина 22'!E19+#REF!+'Ленина 68,8'!E19+'Ленина 67'!E19+'Огарева 20'!E18+'Пролетарская 40'!E18+'Чижевского 4'!E19</f>
        <v>#REF!</v>
      </c>
      <c r="F19" s="8" t="e">
        <f>'Телевизионная 2а'!F18+'Пионерская 16'!F19+' Пионерская 1318 кв.1-50'!F19+'Багговута 12'!F19+'Пионерская 15'!F18+'Социалистическая 3'!F19+'Социалистическая 4'!F19+'Социалистическая 6'!F19+'Социалистическая 6 к.1'!F19+'Социалистическая 9'!F19+'Социалистическая 12'!F19+'Телевизионная 2'!F19+'Телевизионная 4'!F19+'Чичерина 7а'!F19+'Чичерина 8'!F19+#REF!+'Чичерина 16 к. 1'!F19+'пер.Чичерина 24'!F19+'пер. Чичерина 28'!F19+'Калинина 12'!F19+'Калинина 18'!F19+'Калинина 23'!F19+'Пионерская 9'!F19+'Высокая 4'!F19+'Пухова 15'!F19+#REF!+#REF!+'Пухова 17'!F19+'Калинина 4'!F19+'Пионерская 18'!F19+'Чичерина 12 к.1'!F19+'Телевизионная 6 к.1'!F19+#REF!+'Пионерская 2'!F19+'Телевизионная 2 к.1'!F19+'Чичерина 16'!F19+'Чичерина 22'!F19+#REF!+'Ленина 68,8'!F19+'Ленина 67'!F19+'Огарева 20'!F18+'Пролетарская 40'!F18+'Чижевского 4'!F19</f>
        <v>#REF!</v>
      </c>
      <c r="G19" s="8" t="e">
        <f>'Телевизионная 2а'!G18+'Пионерская 16'!G19+' Пионерская 1318 кв.1-50'!G19+'Багговута 12'!G19+'Пионерская 15'!G18+'Социалистическая 3'!G19+'Социалистическая 4'!G19+'Социалистическая 6'!G19+'Социалистическая 6 к.1'!G19+'Социалистическая 9'!G19+'Социалистическая 12'!G19+'Телевизионная 2'!G19+'Телевизионная 4'!G19+'Чичерина 7а'!G19+'Чичерина 8'!G19+#REF!+'Чичерина 16 к. 1'!G19+'пер.Чичерина 24'!G19+'пер. Чичерина 28'!G19+'Калинина 12'!G19+'Калинина 18'!G19+'Калинина 23'!G19+'Пионерская 9'!G19+'Высокая 4'!G19+'Пухова 15'!G19+#REF!+#REF!+'Пухова 17'!G19+'Калинина 4'!G19+'Пионерская 18'!G19+'Чичерина 12 к.1'!G19+'Телевизионная 6 к.1'!G19+#REF!+'Пионерская 2'!G19+'Телевизионная 2 к.1'!G19+'Чичерина 16'!G19+'Чичерина 22'!G19+#REF!+'Ленина 68,8'!G19+'Ленина 67'!G19+'Огарева 20'!G18+'Пролетарская 40'!G18+'Чижевского 4'!G19</f>
        <v>#REF!</v>
      </c>
      <c r="H19" s="28">
        <v>2.41</v>
      </c>
      <c r="I19" s="11">
        <f>H19/H18</f>
        <v>0.35703703703703704</v>
      </c>
    </row>
    <row r="20" spans="1:9" s="3" customFormat="1" ht="45">
      <c r="A20" s="6" t="s">
        <v>18</v>
      </c>
      <c r="B20" s="7" t="s">
        <v>19</v>
      </c>
      <c r="C20" s="25">
        <v>1.2</v>
      </c>
      <c r="D20" s="8" t="e">
        <f>'Телевизионная 2а'!D19+'Пионерская 16'!D20+' Пионерская 1318 кв.1-50'!D20+'Багговута 12'!D20+'Пионерская 15'!D19+'Социалистическая 3'!D20+'Социалистическая 4'!D20+'Социалистическая 6'!D20+'Социалистическая 6 к.1'!D20+'Социалистическая 9'!D20+'Социалистическая 12'!D20+'Телевизионная 2'!D20+'Телевизионная 4'!D20+'Чичерина 7а'!D20+'Чичерина 8'!D20+#REF!+'Чичерина 16 к. 1'!D20+'пер.Чичерина 24'!D20+'пер. Чичерина 28'!D20+'Калинина 12'!D20+'Калинина 18'!D20+'Калинина 23'!D20+'Пионерская 9'!D20+'Высокая 4'!D20+'Пухова 15'!D20+#REF!+#REF!+'Пухова 17'!D20+'Калинина 4'!D20+'Пионерская 18'!D20+'Чичерина 12 к.1'!D20+'Телевизионная 6 к.1'!D20+#REF!+'Пионерская 2'!D20+'Телевизионная 2 к.1'!D20+'Чичерина 16'!D20+'Чичерина 22'!D20+#REF!+'Ленина 68,8'!D20+'Ленина 67'!D20+'Огарева 20'!D19+'Пролетарская 40'!D19+'Чижевского 4'!D20</f>
        <v>#REF!</v>
      </c>
      <c r="E20" s="8" t="e">
        <f>'Телевизионная 2а'!E19+'Пионерская 16'!E20+' Пионерская 1318 кв.1-50'!E20+'Багговута 12'!E20+'Пионерская 15'!E19+'Социалистическая 3'!E20+'Социалистическая 4'!E20+'Социалистическая 6'!E20+'Социалистическая 6 к.1'!E20+'Социалистическая 9'!E20+'Социалистическая 12'!E20+'Телевизионная 2'!E20+'Телевизионная 4'!E20+'Чичерина 7а'!E20+'Чичерина 8'!E20+#REF!+'Чичерина 16 к. 1'!E20+'пер.Чичерина 24'!E20+'пер. Чичерина 28'!E20+'Калинина 12'!E20+'Калинина 18'!E20+'Калинина 23'!E20+'Пионерская 9'!E20+'Высокая 4'!E20+'Пухова 15'!E20+#REF!+#REF!+'Пухова 17'!E20+'Калинина 4'!E20+'Пионерская 18'!E20+'Чичерина 12 к.1'!E20+'Телевизионная 6 к.1'!E20+#REF!+'Пионерская 2'!E20+'Телевизионная 2 к.1'!E20+'Чичерина 16'!E20+'Чичерина 22'!E20+#REF!+'Ленина 68,8'!E20+'Ленина 67'!E20+'Огарева 20'!E19+'Пролетарская 40'!E19+'Чижевского 4'!E20</f>
        <v>#REF!</v>
      </c>
      <c r="F20" s="8" t="e">
        <f>'Телевизионная 2а'!F19+'Пионерская 16'!F20+' Пионерская 1318 кв.1-50'!F20+'Багговута 12'!F20+'Пионерская 15'!F19+'Социалистическая 3'!F20+'Социалистическая 4'!F20+'Социалистическая 6'!F20+'Социалистическая 6 к.1'!F20+'Социалистическая 9'!F20+'Социалистическая 12'!F20+'Телевизионная 2'!F20+'Телевизионная 4'!F20+'Чичерина 7а'!F20+'Чичерина 8'!F20+#REF!+'Чичерина 16 к. 1'!F20+'пер.Чичерина 24'!F20+'пер. Чичерина 28'!F20+'Калинина 12'!F20+'Калинина 18'!F20+'Калинина 23'!F20+'Пионерская 9'!F20+'Высокая 4'!F20+'Пухова 15'!F20+#REF!+#REF!+'Пухова 17'!F20+'Калинина 4'!F20+'Пионерская 18'!F20+'Чичерина 12 к.1'!F20+'Телевизионная 6 к.1'!F20+#REF!+'Пионерская 2'!F20+'Телевизионная 2 к.1'!F20+'Чичерина 16'!F20+'Чичерина 22'!F20+#REF!+'Ленина 68,8'!F20+'Ленина 67'!F20+'Огарева 20'!F19+'Пролетарская 40'!F19+'Чижевского 4'!F20</f>
        <v>#REF!</v>
      </c>
      <c r="G20" s="8" t="e">
        <f>'Телевизионная 2а'!G19+'Пионерская 16'!G20+' Пионерская 1318 кв.1-50'!G20+'Багговута 12'!G20+'Пионерская 15'!G19+'Социалистическая 3'!G20+'Социалистическая 4'!G20+'Социалистическая 6'!G20+'Социалистическая 6 к.1'!G20+'Социалистическая 9'!G20+'Социалистическая 12'!G20+'Телевизионная 2'!G20+'Телевизионная 4'!G20+'Чичерина 7а'!G20+'Чичерина 8'!G20+#REF!+'Чичерина 16 к. 1'!G20+'пер.Чичерина 24'!G20+'пер. Чичерина 28'!G20+'Калинина 12'!G20+'Калинина 18'!G20+'Калинина 23'!G20+'Пионерская 9'!G20+'Высокая 4'!G20+'Пухова 15'!G20+#REF!+#REF!+'Пухова 17'!G20+'Калинина 4'!G20+'Пионерская 18'!G20+'Чичерина 12 к.1'!G20+'Телевизионная 6 к.1'!G20+#REF!+'Пионерская 2'!G20+'Телевизионная 2 к.1'!G20+'Чичерина 16'!G20+'Чичерина 22'!G20+#REF!+'Ленина 68,8'!G20+'Ленина 67'!G20+'Огарева 20'!G19+'Пролетарская 40'!G19+'Чижевского 4'!G20</f>
        <v>#REF!</v>
      </c>
      <c r="H20" s="28">
        <v>1.2</v>
      </c>
      <c r="I20" s="11">
        <f>H20/H18</f>
        <v>0.17777777777777778</v>
      </c>
    </row>
    <row r="21" spans="1:9" s="3" customFormat="1" ht="30">
      <c r="A21" s="6" t="s">
        <v>20</v>
      </c>
      <c r="B21" s="7" t="s">
        <v>21</v>
      </c>
      <c r="C21" s="25">
        <v>1.51</v>
      </c>
      <c r="D21" s="8" t="e">
        <f>'Телевизионная 2а'!D20+'Пионерская 16'!D21+' Пионерская 1318 кв.1-50'!D21+'Багговута 12'!D21+'Пионерская 15'!D20+'Социалистическая 3'!D21+'Социалистическая 4'!D21+'Социалистическая 6'!D21+'Социалистическая 6 к.1'!D21+'Социалистическая 9'!D21+'Социалистическая 12'!D21+'Телевизионная 2'!D21+'Телевизионная 4'!D21+'Чичерина 7а'!D21+'Чичерина 8'!D21+#REF!+'Чичерина 16 к. 1'!D21+'пер.Чичерина 24'!D21+'пер. Чичерина 28'!D21+'Калинина 12'!D21+'Калинина 18'!D21+'Калинина 23'!D21+'Пионерская 9'!D21+'Высокая 4'!D21+'Пухова 15'!D21+#REF!+#REF!+'Пухова 17'!D21+'Калинина 4'!D21+'Пионерская 18'!D21+'Чичерина 12 к.1'!D21+'Телевизионная 6 к.1'!D21+#REF!+'Пионерская 2'!D21+'Телевизионная 2 к.1'!D21+'Чичерина 16'!D21+'Чичерина 22'!D21+#REF!+'Ленина 68,8'!D21+'Ленина 67'!D21+'Огарева 20'!D20+'Пролетарская 40'!D20+'Чижевского 4'!D21</f>
        <v>#REF!</v>
      </c>
      <c r="E21" s="8" t="e">
        <f>'Телевизионная 2а'!E20+'Пионерская 16'!E21+' Пионерская 1318 кв.1-50'!E21+'Багговута 12'!E21+'Пионерская 15'!E20+'Социалистическая 3'!E21+'Социалистическая 4'!E21+'Социалистическая 6'!E21+'Социалистическая 6 к.1'!E21+'Социалистическая 9'!E21+'Социалистическая 12'!E21+'Телевизионная 2'!E21+'Телевизионная 4'!E21+'Чичерина 7а'!E21+'Чичерина 8'!E21+#REF!+'Чичерина 16 к. 1'!E21+'пер.Чичерина 24'!E21+'пер. Чичерина 28'!E21+'Калинина 12'!E21+'Калинина 18'!E21+'Калинина 23'!E21+'Пионерская 9'!E21+'Высокая 4'!E21+'Пухова 15'!E21+#REF!+#REF!+'Пухова 17'!E21+'Калинина 4'!E21+'Пионерская 18'!E21+'Чичерина 12 к.1'!E21+'Телевизионная 6 к.1'!E21+#REF!+'Пионерская 2'!E21+'Телевизионная 2 к.1'!E21+'Чичерина 16'!E21+'Чичерина 22'!E21+#REF!+'Ленина 68,8'!E21+'Ленина 67'!E21+'Огарева 20'!E20+'Пролетарская 40'!E20+'Чижевского 4'!E21</f>
        <v>#REF!</v>
      </c>
      <c r="F21" s="8" t="e">
        <f>'Телевизионная 2а'!F20+'Пионерская 16'!F21+' Пионерская 1318 кв.1-50'!F21+'Багговута 12'!F21+'Пионерская 15'!F20+'Социалистическая 3'!F21+'Социалистическая 4'!F21+'Социалистическая 6'!F21+'Социалистическая 6 к.1'!F21+'Социалистическая 9'!F21+'Социалистическая 12'!F21+'Телевизионная 2'!F21+'Телевизионная 4'!F21+'Чичерина 7а'!F21+'Чичерина 8'!F21+#REF!+'Чичерина 16 к. 1'!F21+'пер.Чичерина 24'!F21+'пер. Чичерина 28'!F21+'Калинина 12'!F21+'Калинина 18'!F21+'Калинина 23'!F21+'Пионерская 9'!F21+'Высокая 4'!F21+'Пухова 15'!F21+#REF!+#REF!+'Пухова 17'!F21+'Калинина 4'!F21+'Пионерская 18'!F21+'Чичерина 12 к.1'!F21+'Телевизионная 6 к.1'!F21+#REF!+'Пионерская 2'!F21+'Телевизионная 2 к.1'!F21+'Чичерина 16'!F21+'Чичерина 22'!F21+#REF!+'Ленина 68,8'!F21+'Ленина 67'!F21+'Огарева 20'!F20+'Пролетарская 40'!F20+'Чижевского 4'!F21</f>
        <v>#REF!</v>
      </c>
      <c r="G21" s="8" t="e">
        <f>'Телевизионная 2а'!G20+'Пионерская 16'!G21+' Пионерская 1318 кв.1-50'!G21+'Багговута 12'!G21+'Пионерская 15'!G20+'Социалистическая 3'!G21+'Социалистическая 4'!G21+'Социалистическая 6'!G21+'Социалистическая 6 к.1'!G21+'Социалистическая 9'!G21+'Социалистическая 12'!G21+'Телевизионная 2'!G21+'Телевизионная 4'!G21+'Чичерина 7а'!G21+'Чичерина 8'!G21+#REF!+'Чичерина 16 к. 1'!G21+'пер.Чичерина 24'!G21+'пер. Чичерина 28'!G21+'Калинина 12'!G21+'Калинина 18'!G21+'Калинина 23'!G21+'Пионерская 9'!G21+'Высокая 4'!G21+'Пухова 15'!G21+#REF!+#REF!+'Пухова 17'!G21+'Калинина 4'!G21+'Пионерская 18'!G21+'Чичерина 12 к.1'!G21+'Телевизионная 6 к.1'!G21+#REF!+'Пионерская 2'!G21+'Телевизионная 2 к.1'!G21+'Чичерина 16'!G21+'Чичерина 22'!G21+#REF!+'Ленина 68,8'!G21+'Ленина 67'!G21+'Огарева 20'!G20+'Пролетарская 40'!G20+'Чижевского 4'!G21</f>
        <v>#REF!</v>
      </c>
      <c r="H21" s="28">
        <v>1.51</v>
      </c>
      <c r="I21" s="11">
        <f>H21/H18</f>
        <v>0.2237037037037037</v>
      </c>
    </row>
    <row r="22" spans="1:9" s="3" customFormat="1" ht="30">
      <c r="A22" s="6" t="s">
        <v>22</v>
      </c>
      <c r="B22" s="7" t="s">
        <v>23</v>
      </c>
      <c r="C22" s="25">
        <v>1.63</v>
      </c>
      <c r="D22" s="8" t="e">
        <f>'Телевизионная 2а'!D21+'Пионерская 16'!D22+' Пионерская 1318 кв.1-50'!D22+'Багговута 12'!D22+'Пионерская 15'!D21+'Социалистическая 3'!D22+'Социалистическая 4'!D22+'Социалистическая 6'!D22+'Социалистическая 6 к.1'!D22+'Социалистическая 9'!D22+'Социалистическая 12'!D22+'Телевизионная 2'!D22+'Телевизионная 4'!D22+'Чичерина 7а'!D22+'Чичерина 8'!D22+#REF!+'Чичерина 16 к. 1'!D22+'пер.Чичерина 24'!D22+'пер. Чичерина 28'!D22+'Калинина 12'!D22+'Калинина 18'!D22+'Калинина 23'!D22+'Пионерская 9'!D22+'Высокая 4'!D22+'Пухова 15'!D22+#REF!+#REF!+'Пухова 17'!D22+'Калинина 4'!D22+'Пионерская 18'!D22+'Чичерина 12 к.1'!D22+'Телевизионная 6 к.1'!D22+#REF!+'Пионерская 2'!D22+'Телевизионная 2 к.1'!D22+'Чичерина 16'!D22+'Чичерина 22'!D22+#REF!+'Ленина 68,8'!D22+'Ленина 67'!D22+'Огарева 20'!D21+'Пролетарская 40'!D21+'Чижевского 4'!D22</f>
        <v>#REF!</v>
      </c>
      <c r="E22" s="8" t="e">
        <f>'Телевизионная 2а'!E21+'Пионерская 16'!E22+' Пионерская 1318 кв.1-50'!E22+'Багговута 12'!E22+'Пионерская 15'!E21+'Социалистическая 3'!E22+'Социалистическая 4'!E22+'Социалистическая 6'!E22+'Социалистическая 6 к.1'!E22+'Социалистическая 9'!E22+'Социалистическая 12'!E22+'Телевизионная 2'!E22+'Телевизионная 4'!E22+'Чичерина 7а'!E22+'Чичерина 8'!E22+#REF!+'Чичерина 16 к. 1'!E22+'пер.Чичерина 24'!E22+'пер. Чичерина 28'!E22+'Калинина 12'!E22+'Калинина 18'!E22+'Калинина 23'!E22+'Пионерская 9'!E22+'Высокая 4'!E22+'Пухова 15'!E22+#REF!+#REF!+'Пухова 17'!E22+'Калинина 4'!E22+'Пионерская 18'!E22+'Чичерина 12 к.1'!E22+'Телевизионная 6 к.1'!E22+#REF!+'Пионерская 2'!E22+'Телевизионная 2 к.1'!E22+'Чичерина 16'!E22+'Чичерина 22'!E22+#REF!+'Ленина 68,8'!E22+'Ленина 67'!E22+'Огарева 20'!E21+'Пролетарская 40'!E21+'Чижевского 4'!E22</f>
        <v>#REF!</v>
      </c>
      <c r="F22" s="8" t="e">
        <f>'Телевизионная 2а'!F21+'Пионерская 16'!F22+' Пионерская 1318 кв.1-50'!F22+'Багговута 12'!F22+'Пионерская 15'!F21+'Социалистическая 3'!F22+'Социалистическая 4'!F22+'Социалистическая 6'!F22+'Социалистическая 6 к.1'!F22+'Социалистическая 9'!F22+'Социалистическая 12'!F22+'Телевизионная 2'!F22+'Телевизионная 4'!F22+'Чичерина 7а'!F22+'Чичерина 8'!F22+#REF!+'Чичерина 16 к. 1'!F22+'пер.Чичерина 24'!F22+'пер. Чичерина 28'!F22+'Калинина 12'!F22+'Калинина 18'!F22+'Калинина 23'!F22+'Пионерская 9'!F22+'Высокая 4'!F22+'Пухова 15'!F22+#REF!+#REF!+'Пухова 17'!F22+'Калинина 4'!F22+'Пионерская 18'!F22+'Чичерина 12 к.1'!F22+'Телевизионная 6 к.1'!F22+#REF!+'Пионерская 2'!F22+'Телевизионная 2 к.1'!F22+'Чичерина 16'!F22+'Чичерина 22'!F22+#REF!+'Ленина 68,8'!F22+'Ленина 67'!F22+'Огарева 20'!F21+'Пролетарская 40'!F21+'Чижевского 4'!F22</f>
        <v>#REF!</v>
      </c>
      <c r="G22" s="8" t="e">
        <f>'Телевизионная 2а'!G21+'Пионерская 16'!G22+' Пионерская 1318 кв.1-50'!G22+'Багговута 12'!G22+'Пионерская 15'!G21+'Социалистическая 3'!G22+'Социалистическая 4'!G22+'Социалистическая 6'!G22+'Социалистическая 6 к.1'!G22+'Социалистическая 9'!G22+'Социалистическая 12'!G22+'Телевизионная 2'!G22+'Телевизионная 4'!G22+'Чичерина 7а'!G22+'Чичерина 8'!G22+#REF!+'Чичерина 16 к. 1'!G22+'пер.Чичерина 24'!G22+'пер. Чичерина 28'!G22+'Калинина 12'!G22+'Калинина 18'!G22+'Калинина 23'!G22+'Пионерская 9'!G22+'Высокая 4'!G22+'Пухова 15'!G22+#REF!+#REF!+'Пухова 17'!G22+'Калинина 4'!G22+'Пионерская 18'!G22+'Чичерина 12 к.1'!G22+'Телевизионная 6 к.1'!G22+#REF!+'Пионерская 2'!G22+'Телевизионная 2 к.1'!G22+'Чичерина 16'!G22+'Чичерина 22'!G22+#REF!+'Ленина 68,8'!G22+'Ленина 67'!G22+'Огарева 20'!G21+'Пролетарская 40'!G21+'Чижевского 4'!G22</f>
        <v>#REF!</v>
      </c>
      <c r="H22" s="28">
        <v>1.63</v>
      </c>
      <c r="I22" s="11">
        <f>H22/H18</f>
        <v>0.24148148148148146</v>
      </c>
    </row>
    <row r="23" spans="1:7" ht="15">
      <c r="A23" s="7" t="s">
        <v>25</v>
      </c>
      <c r="B23" s="7" t="s">
        <v>26</v>
      </c>
      <c r="C23" s="25">
        <v>3.15</v>
      </c>
      <c r="D23" s="8" t="e">
        <f>'Телевизионная 2а'!D22+'Пионерская 16'!#REF!+' Пионерская 1318 кв.1-50'!#REF!+'Багговута 12'!D23+'Пионерская 15'!D22+'Социалистическая 3'!D23+'Социалистическая 4'!D23+'Социалистическая 6'!D23+'Социалистическая 6 к.1'!D23+'Социалистическая 9'!D23+'Социалистическая 12'!D23+'Телевизионная 2'!D23+'Телевизионная 4'!D23+'Чичерина 7а'!D23+'Чичерина 8'!D23+#REF!+'Чичерина 16 к. 1'!D23+'пер.Чичерина 24'!D23+'пер. Чичерина 28'!D23+'Калинина 12'!D24+'Калинина 18'!D23+'Калинина 23'!D23+'Пионерская 9'!D23+'Высокая 4'!D23+'Пухова 15'!D23+#REF!+#REF!+'Пухова 17'!D23+'Калинина 4'!D23+'Пионерская 18'!D23+'Чичерина 12 к.1'!D23+'Телевизионная 6 к.1'!D23+#REF!+'Пионерская 2'!D23+'Телевизионная 2 к.1'!D23+'Чичерина 16'!D23+'Чичерина 22'!D23+#REF!+'Ленина 68,8'!D23+'Ленина 67'!D23+'Огарева 20'!D22+'Пролетарская 40'!D22+'Чижевского 4'!D23</f>
        <v>#REF!</v>
      </c>
      <c r="E23" s="8" t="e">
        <f>'Телевизионная 2а'!E22+'Пионерская 16'!#REF!+' Пионерская 1318 кв.1-50'!#REF!+'Багговута 12'!E23+'Пионерская 15'!E22+'Социалистическая 3'!E23+'Социалистическая 4'!E23+'Социалистическая 6'!E23+'Социалистическая 6 к.1'!E23+'Социалистическая 9'!E23+'Социалистическая 12'!E23+'Телевизионная 2'!E23+'Телевизионная 4'!E23+'Чичерина 7а'!E23+'Чичерина 8'!E23+#REF!+'Чичерина 16 к. 1'!E23+'пер.Чичерина 24'!E23+'пер. Чичерина 28'!E23+'Калинина 12'!E24+'Калинина 18'!E23+'Калинина 23'!E23+'Пионерская 9'!E23+'Высокая 4'!E23+'Пухова 15'!E23+#REF!+#REF!+'Пухова 17'!E23+'Калинина 4'!E23+'Пионерская 18'!E23+'Чичерина 12 к.1'!E23+'Телевизионная 6 к.1'!E23+#REF!+'Пионерская 2'!E23+'Телевизионная 2 к.1'!E23+'Чичерина 16'!E23+'Чичерина 22'!E23+#REF!+'Ленина 68,8'!E23+'Ленина 67'!E23+'Огарева 20'!E22+'Пролетарская 40'!E22+'Чижевского 4'!E23</f>
        <v>#REF!</v>
      </c>
      <c r="F23" s="8" t="e">
        <f>'Телевизионная 2а'!F22+'Пионерская 16'!#REF!+' Пионерская 1318 кв.1-50'!#REF!+'Багговута 12'!F23+'Пионерская 15'!F22+'Социалистическая 3'!F23+'Социалистическая 4'!F23+'Социалистическая 6'!F23+'Социалистическая 6 к.1'!F23+'Социалистическая 9'!F23+'Социалистическая 12'!F23+'Телевизионная 2'!F23+'Телевизионная 4'!F23+'Чичерина 7а'!F23+'Чичерина 8'!F23+#REF!+'Чичерина 16 к. 1'!F23+'пер.Чичерина 24'!F23+'пер. Чичерина 28'!F23+'Калинина 12'!F24+'Калинина 18'!F23+'Калинина 23'!F23+'Пионерская 9'!F23+'Высокая 4'!F23+'Пухова 15'!F23+#REF!+#REF!+'Пухова 17'!F23+'Калинина 4'!F23+'Пионерская 18'!F23+'Чичерина 12 к.1'!F23+'Телевизионная 6 к.1'!F23+#REF!+'Пионерская 2'!F23+'Телевизионная 2 к.1'!F23+'Чичерина 16'!F23+'Чичерина 22'!F23+#REF!+'Ленина 68,8'!F23+'Ленина 67'!F23+'Огарева 20'!F22+'Пролетарская 40'!F22+'Чижевского 4'!F23</f>
        <v>#REF!</v>
      </c>
      <c r="G23" s="8" t="e">
        <f>'Телевизионная 2а'!G22+'Пионерская 16'!#REF!+' Пионерская 1318 кв.1-50'!#REF!+'Багговута 12'!G23+'Пионерская 15'!G22+'Социалистическая 3'!G23+'Социалистическая 4'!G23+'Социалистическая 6'!G23+'Социалистическая 6 к.1'!G23+'Социалистическая 9'!G23+'Социалистическая 12'!G23+'Телевизионная 2'!G23+'Телевизионная 4'!G23+'Чичерина 7а'!G23+'Чичерина 8'!G23+#REF!+'Чичерина 16 к. 1'!G23+'пер.Чичерина 24'!G23+'пер. Чичерина 28'!G23+'Калинина 12'!G24+'Калинина 18'!G23+'Калинина 23'!G23+'Пионерская 9'!G23+'Высокая 4'!G23+'Пухова 15'!G23+#REF!+#REF!+'Пухова 17'!G23+'Калинина 4'!G23+'Пионерская 18'!G23+'Чичерина 12 к.1'!G23+'Телевизионная 6 к.1'!G23+#REF!+'Пионерская 2'!G23+'Телевизионная 2 к.1'!G23+'Чичерина 16'!G23+'Чичерина 22'!G23+#REF!+'Ленина 68,8'!G23+'Ленина 67'!G23+'Огарева 20'!G22+'Пролетарская 40'!G22+'Чижевского 4'!G23</f>
        <v>#REF!</v>
      </c>
    </row>
    <row r="24" spans="1:7" ht="15">
      <c r="A24" s="7" t="s">
        <v>27</v>
      </c>
      <c r="B24" s="7" t="s">
        <v>28</v>
      </c>
      <c r="C24" s="12">
        <v>2.6</v>
      </c>
      <c r="D24" s="8" t="e">
        <f>'Телевизионная 2а'!D23+'Пионерская 16'!#REF!+' Пионерская 1318 кв.1-50'!D23+'Багговута 12'!D24+'Пионерская 15'!D23+'Социалистическая 3'!D24+'Социалистическая 4'!D24+'Социалистическая 6'!D24+'Социалистическая 6 к.1'!D24+'Социалистическая 9'!D24+'Социалистическая 12'!D24+'Телевизионная 2'!D24+'Телевизионная 4'!D24+'Чичерина 7а'!D24+'Чичерина 8'!D24+#REF!+'Чичерина 16 к. 1'!D24+'пер.Чичерина 24'!D24+'пер. Чичерина 28'!D24+'Калинина 12'!D25+'Калинина 18'!D24+'Калинина 23'!D24+'Пионерская 9'!D24+'Высокая 4'!D24+'Пухова 15'!D24+#REF!+#REF!+'Пухова 17'!D24+'Калинина 4'!D24+'Пионерская 18'!D24+'Чичерина 12 к.1'!D24+'Телевизионная 6 к.1'!D24+#REF!+'Пионерская 2'!D24+'Телевизионная 2 к.1'!D24+'Чичерина 16'!D24+'Чичерина 22'!D24+#REF!+'Ленина 68,8'!D24+'Ленина 67'!D24+'Огарева 20'!D23+'Пролетарская 40'!D23+'Чижевского 4'!D24</f>
        <v>#REF!</v>
      </c>
      <c r="E24" s="8" t="e">
        <f>'Телевизионная 2а'!E23+'Пионерская 16'!#REF!+' Пионерская 1318 кв.1-50'!E23+'Багговута 12'!E24+'Пионерская 15'!E23+'Социалистическая 3'!E24+'Социалистическая 4'!E24+'Социалистическая 6'!E24+'Социалистическая 6 к.1'!E24+'Социалистическая 9'!E24+'Социалистическая 12'!E24+'Телевизионная 2'!E24+'Телевизионная 4'!E24+'Чичерина 7а'!E24+'Чичерина 8'!E24+#REF!+'Чичерина 16 к. 1'!E24+'пер.Чичерина 24'!E24+'пер. Чичерина 28'!E24+'Калинина 12'!E25+'Калинина 18'!E24+'Калинина 23'!E24+'Пионерская 9'!E24+'Высокая 4'!E24+'Пухова 15'!E24+#REF!+#REF!+'Пухова 17'!E24+'Калинина 4'!E24+'Пионерская 18'!E24+'Чичерина 12 к.1'!E24+'Телевизионная 6 к.1'!E24+#REF!+'Пионерская 2'!E24+'Телевизионная 2 к.1'!E24+'Чичерина 16'!E24+'Чичерина 22'!E24+#REF!+'Ленина 68,8'!E24+'Ленина 67'!E24+'Огарева 20'!E23+'Пролетарская 40'!E23+'Чижевского 4'!E24</f>
        <v>#REF!</v>
      </c>
      <c r="F24" s="8" t="e">
        <f>'Телевизионная 2а'!F23+'Пионерская 16'!#REF!+' Пионерская 1318 кв.1-50'!F23+'Багговута 12'!F24+'Пионерская 15'!F23+'Социалистическая 3'!F24+'Социалистическая 4'!F24+'Социалистическая 6'!F24+'Социалистическая 6 к.1'!F24+'Социалистическая 9'!F24+'Социалистическая 12'!F24+'Телевизионная 2'!F24+'Телевизионная 4'!F24+'Чичерина 7а'!F24+'Чичерина 8'!F24+#REF!+'Чичерина 16 к. 1'!F24+'пер.Чичерина 24'!F24+'пер. Чичерина 28'!F24+'Калинина 12'!F25+'Калинина 18'!F24+'Калинина 23'!F24+'Пионерская 9'!F24+'Высокая 4'!F24+'Пухова 15'!F24+#REF!+#REF!+'Пухова 17'!F24+'Калинина 4'!F24+'Пионерская 18'!F24+'Чичерина 12 к.1'!F24+'Телевизионная 6 к.1'!F24+#REF!+'Пионерская 2'!F24+'Телевизионная 2 к.1'!F24+'Чичерина 16'!F24+'Чичерина 22'!F24+#REF!+'Ленина 68,8'!F24+'Ленина 67'!F24+'Огарева 20'!F23+'Пролетарская 40'!F23+'Чижевского 4'!F24</f>
        <v>#REF!</v>
      </c>
      <c r="G24" s="8" t="e">
        <f>'Телевизионная 2а'!G23+'Пионерская 16'!#REF!+' Пионерская 1318 кв.1-50'!G23+'Багговута 12'!G24+'Пионерская 15'!G23+'Социалистическая 3'!G24+'Социалистическая 4'!G24+'Социалистическая 6'!G24+'Социалистическая 6 к.1'!G24+'Социалистическая 9'!G24+'Социалистическая 12'!G24+'Телевизионная 2'!G24+'Телевизионная 4'!G24+'Чичерина 7а'!G24+'Чичерина 8'!G24+#REF!+'Чичерина 16 к. 1'!G24+'пер.Чичерина 24'!G24+'пер. Чичерина 28'!G24+'Калинина 12'!G25+'Калинина 18'!G24+'Калинина 23'!G24+'Пионерская 9'!G24+'Высокая 4'!G24+'Пухова 15'!G24+#REF!+#REF!+'Пухова 17'!G24+'Калинина 4'!G24+'Пионерская 18'!G24+'Чичерина 12 к.1'!G24+'Телевизионная 6 к.1'!G24+#REF!+'Пионерская 2'!G24+'Телевизионная 2 к.1'!G24+'Чичерина 16'!G24+'Чичерина 22'!G24+#REF!+'Ленина 68,8'!G24+'Ленина 67'!G24+'Огарева 20'!G23+'Пролетарская 40'!G23+'Чижевского 4'!G24</f>
        <v>#REF!</v>
      </c>
    </row>
    <row r="25" spans="1:7" ht="30">
      <c r="A25" s="7" t="s">
        <v>29</v>
      </c>
      <c r="B25" s="7" t="s">
        <v>30</v>
      </c>
      <c r="C25" s="25">
        <v>0.81</v>
      </c>
      <c r="D25" s="8" t="e">
        <f>'Телевизионная 2а'!D24+'Пионерская 16'!D23+' Пионерская 1318 кв.1-50'!D24+'Багговута 12'!D25+'Пионерская 15'!D24+'Социалистическая 3'!D25+'Социалистическая 4'!D25+'Социалистическая 6'!D25+'Социалистическая 6 к.1'!D25+'Социалистическая 9'!D25+'Социалистическая 12'!D25+'Телевизионная 2'!D25+'Телевизионная 4'!D25+'Чичерина 7а'!D25+'Чичерина 8'!D25+#REF!+'Чичерина 16 к. 1'!D25+'пер.Чичерина 24'!#REF!+'пер. Чичерина 28'!D25+'Калинина 12'!D26+'Калинина 18'!D25+'Калинина 23'!D25+'Пионерская 9'!D25+'Высокая 4'!D25+'Пухова 15'!D25+#REF!+#REF!+'Пухова 17'!D25+'Калинина 4'!D25+'Пионерская 18'!D25+'Чичерина 12 к.1'!D25+'Телевизионная 6 к.1'!D25+#REF!+'Пионерская 2'!D25+'Телевизионная 2 к.1'!D25+'Чичерина 16'!D25+'Чичерина 22'!D25+#REF!+'Ленина 68,8'!D25+'Ленина 67'!D25+'Огарева 20'!D24+'Пролетарская 40'!D24+'Чижевского 4'!D25</f>
        <v>#REF!</v>
      </c>
      <c r="E25" s="8" t="e">
        <f>'Телевизионная 2а'!E24+'Пионерская 16'!E23+' Пионерская 1318 кв.1-50'!E24+'Багговута 12'!E25+'Пионерская 15'!E24+'Социалистическая 3'!E25+'Социалистическая 4'!E25+'Социалистическая 6'!E25+'Социалистическая 6 к.1'!E25+'Социалистическая 9'!E25+'Социалистическая 12'!E25+'Телевизионная 2'!E25+'Телевизионная 4'!E25+'Чичерина 7а'!E25+'Чичерина 8'!E25+#REF!+'Чичерина 16 к. 1'!E25+'пер.Чичерина 24'!#REF!+'пер. Чичерина 28'!E25+'Калинина 12'!E26+'Калинина 18'!E25+'Калинина 23'!E25+'Пионерская 9'!E25+'Высокая 4'!E25+'Пухова 15'!E25+#REF!+#REF!+'Пухова 17'!E25+'Калинина 4'!E25+'Пионерская 18'!E25+'Чичерина 12 к.1'!E25+'Телевизионная 6 к.1'!E25+#REF!+'Пионерская 2'!E25+'Телевизионная 2 к.1'!E25+'Чичерина 16'!E25+'Чичерина 22'!E25+#REF!+'Ленина 68,8'!E25+'Ленина 67'!E25+'Огарева 20'!E24+'Пролетарская 40'!E24+'Чижевского 4'!E25</f>
        <v>#REF!</v>
      </c>
      <c r="F25" s="8" t="e">
        <f>'Телевизионная 2а'!F24+'Пионерская 16'!F23+' Пионерская 1318 кв.1-50'!F24+'Багговута 12'!F25+'Пионерская 15'!F24+'Социалистическая 3'!F25+'Социалистическая 4'!F25+'Социалистическая 6'!F25+'Социалистическая 6 к.1'!F25+'Социалистическая 9'!F25+'Социалистическая 12'!F25+'Телевизионная 2'!F25+'Телевизионная 4'!F25+'Чичерина 7а'!F25+'Чичерина 8'!F25+#REF!+'Чичерина 16 к. 1'!F25+'пер.Чичерина 24'!#REF!+'пер. Чичерина 28'!F25+'Калинина 12'!F26+'Калинина 18'!F25+'Калинина 23'!F25+'Пионерская 9'!F25+'Высокая 4'!F25+'Пухова 15'!F25+#REF!+#REF!+'Пухова 17'!F25+'Калинина 4'!F25+'Пионерская 18'!F25+'Чичерина 12 к.1'!F25+'Телевизионная 6 к.1'!F25+#REF!+'Пионерская 2'!F25+'Телевизионная 2 к.1'!F25+'Чичерина 16'!F25+'Чичерина 22'!F25+#REF!+'Ленина 68,8'!F25+'Ленина 67'!F25+'Огарева 20'!F24+'Пролетарская 40'!F24+'Чижевского 4'!F25</f>
        <v>#REF!</v>
      </c>
      <c r="G25" s="8" t="e">
        <f>'Телевизионная 2а'!G24+'Пионерская 16'!G23+' Пионерская 1318 кв.1-50'!G24+'Багговута 12'!G25+'Пионерская 15'!G24+'Социалистическая 3'!G25+'Социалистическая 4'!G25+'Социалистическая 6'!G25+'Социалистическая 6 к.1'!G25+'Социалистическая 9'!G25+'Социалистическая 12'!G25+'Телевизионная 2'!G25+'Телевизионная 4'!G25+'Чичерина 7а'!G25+'Чичерина 8'!G25+#REF!+'Чичерина 16 к. 1'!G25+'пер.Чичерина 24'!#REF!+'пер. Чичерина 28'!G25+'Калинина 12'!G26+'Калинина 18'!G25+'Калинина 23'!G25+'Пионерская 9'!G25+'Высокая 4'!G25+'Пухова 15'!G25+#REF!+#REF!+'Пухова 17'!G25+'Калинина 4'!G25+'Пионерская 18'!G25+'Чичерина 12 к.1'!G25+'Телевизионная 6 к.1'!G25+#REF!+'Пионерская 2'!G25+'Телевизионная 2 к.1'!G25+'Чичерина 16'!G25+'Чичерина 22'!G25+#REF!+'Ленина 68,8'!G25+'Ленина 67'!G25+'Огарева 20'!G24+'Пролетарская 40'!G24+'Чижевского 4'!G25</f>
        <v>#REF!</v>
      </c>
    </row>
    <row r="26" spans="1:7" ht="15">
      <c r="A26" s="7" t="s">
        <v>31</v>
      </c>
      <c r="B26" s="24" t="s">
        <v>116</v>
      </c>
      <c r="C26" s="25">
        <v>1.61</v>
      </c>
      <c r="D26" s="8" t="e">
        <f>'Телевизионная 2а'!D25+'Пионерская 16'!D24+' Пионерская 1318 кв.1-50'!D25+'Багговута 12'!D26+'Пионерская 15'!D25+'Социалистическая 3'!D26+'Социалистическая 4'!D26+'Социалистическая 6'!D26+'Социалистическая 6 к.1'!D26+'Социалистическая 9'!D26+'Социалистическая 12'!D26+'Телевизионная 2'!D26+'Телевизионная 4'!D26+'Чичерина 7а'!D26+'Чичерина 8'!D26+#REF!+'Чичерина 16 к. 1'!D26+'пер.Чичерина 24'!D25+'пер. Чичерина 28'!D26+'Калинина 12'!D27+'Калинина 18'!D26+'Калинина 23'!D26+'Пионерская 9'!D26+'Высокая 4'!D26+'Пухова 15'!D26+#REF!+#REF!+'Пухова 17'!D26+'Калинина 4'!D26+'Пионерская 18'!D26+'Чичерина 12 к.1'!D26+'Телевизионная 6 к.1'!D26+#REF!+'Пионерская 2'!D26+'Телевизионная 2 к.1'!D26+'Чичерина 16'!D26+'Чичерина 22'!D26+#REF!+'Ленина 68,8'!D26+'Ленина 67'!D26+'Огарева 20'!D25+'Пролетарская 40'!D25+'Чижевского 4'!D26</f>
        <v>#REF!</v>
      </c>
      <c r="E26" s="8" t="e">
        <f>'Телевизионная 2а'!E25+'Пионерская 16'!E24+' Пионерская 1318 кв.1-50'!E25+'Багговута 12'!E26+'Пионерская 15'!E25+'Социалистическая 3'!E26+'Социалистическая 4'!E26+'Социалистическая 6'!E26+'Социалистическая 6 к.1'!E26+'Социалистическая 9'!E26+'Социалистическая 12'!E26+'Телевизионная 2'!E26+'Телевизионная 4'!E26+'Чичерина 7а'!E26+'Чичерина 8'!E26+#REF!+'Чичерина 16 к. 1'!E26+'пер.Чичерина 24'!E25+'пер. Чичерина 28'!E26+'Калинина 12'!E27+'Калинина 18'!E26+'Калинина 23'!E26+'Пионерская 9'!E26+'Высокая 4'!E26+'Пухова 15'!E26+#REF!+#REF!+'Пухова 17'!E26+'Калинина 4'!E26+'Пионерская 18'!E26+'Чичерина 12 к.1'!E26+'Телевизионная 6 к.1'!E26+#REF!+'Пионерская 2'!E26+'Телевизионная 2 к.1'!E26+'Чичерина 16'!E26+'Чичерина 22'!E26+#REF!+'Ленина 68,8'!E26+'Ленина 67'!E26+'Огарева 20'!E25+'Пролетарская 40'!E25+'Чижевского 4'!E26</f>
        <v>#REF!</v>
      </c>
      <c r="F26" s="8" t="e">
        <f>'Телевизионная 2а'!F25+'Пионерская 16'!F24+' Пионерская 1318 кв.1-50'!F25+'Багговута 12'!F26+'Пионерская 15'!F25+'Социалистическая 3'!F26+'Социалистическая 4'!F26+'Социалистическая 6'!F26+'Социалистическая 6 к.1'!F26+'Социалистическая 9'!F26+'Социалистическая 12'!F26+'Телевизионная 2'!F26+'Телевизионная 4'!F26+'Чичерина 7а'!F26+'Чичерина 8'!F26+#REF!+'Чичерина 16 к. 1'!F26+'пер.Чичерина 24'!F25+'пер. Чичерина 28'!F26+'Калинина 12'!F27+'Калинина 18'!F26+'Калинина 23'!F26+'Пионерская 9'!F26+'Высокая 4'!F26+'Пухова 15'!F26+#REF!+#REF!+'Пухова 17'!F26+'Калинина 4'!F26+'Пионерская 18'!F26+'Чичерина 12 к.1'!F26+'Телевизионная 6 к.1'!F26+#REF!+'Пионерская 2'!F26+'Телевизионная 2 к.1'!F26+'Чичерина 16'!F26+'Чичерина 22'!F26+#REF!+'Ленина 68,8'!F26+'Ленина 67'!F26+'Огарева 20'!F25+'Пролетарская 40'!F25+'Чижевского 4'!F26</f>
        <v>#REF!</v>
      </c>
      <c r="G26" s="8" t="e">
        <f>'Телевизионная 2а'!G25+'Пионерская 16'!G24+' Пионерская 1318 кв.1-50'!G25+'Багговута 12'!G26+'Пионерская 15'!G25+'Социалистическая 3'!G26+'Социалистическая 4'!G26+'Социалистическая 6'!G26+'Социалистическая 6 к.1'!G26+'Социалистическая 9'!G26+'Социалистическая 12'!G26+'Телевизионная 2'!G26+'Телевизионная 4'!G26+'Чичерина 7а'!G26+'Чичерина 8'!G26+#REF!+'Чичерина 16 к. 1'!G26+'пер.Чичерина 24'!G25+'пер. Чичерина 28'!G26+'Калинина 12'!G27+'Калинина 18'!G26+'Калинина 23'!G26+'Пионерская 9'!G26+'Высокая 4'!G26+'Пухова 15'!G26+#REF!+#REF!+'Пухова 17'!G26+'Калинина 4'!G26+'Пионерская 18'!G26+'Чичерина 12 к.1'!G26+'Телевизионная 6 к.1'!G26+#REF!+'Пионерская 2'!G26+'Телевизионная 2 к.1'!G26+'Чичерина 16'!G26+'Чичерина 22'!G26+#REF!+'Ленина 68,8'!G26+'Ленина 67'!G26+'Огарева 20'!G25+'Пролетарская 40'!G25+'Чижевского 4'!G26</f>
        <v>#REF!</v>
      </c>
    </row>
    <row r="27" spans="1:7" ht="30">
      <c r="A27" s="7" t="s">
        <v>33</v>
      </c>
      <c r="B27" s="7" t="s">
        <v>34</v>
      </c>
      <c r="C27" s="25">
        <v>0</v>
      </c>
      <c r="D27" s="8" t="e">
        <f>'Телевизионная 2а'!D26+'Пионерская 16'!#REF!+' Пионерская 1318 кв.1-50'!D26+'Багговута 12'!D27+'Пионерская 15'!D26+'Социалистическая 3'!D27+'Социалистическая 4'!D27+'Социалистическая 6'!D27+'Социалистическая 6 к.1'!D27+'Социалистическая 9'!D27+'Социалистическая 12'!D27+'Телевизионная 2'!D27+'Телевизионная 4'!D27+'Чичерина 7а'!D27+'Чичерина 8'!D27+#REF!+'Чичерина 16 к. 1'!D27+'пер.Чичерина 24'!D26+'пер. Чичерина 28'!D27+'Калинина 12'!D28+'Калинина 18'!D27+'Калинина 23'!D27+'Пионерская 9'!D27+'Высокая 4'!D27+'Пухова 15'!D27+#REF!+#REF!+'Пухова 17'!D27+'Калинина 4'!D27+'Пионерская 18'!D27+'Чичерина 12 к.1'!D27+'Телевизионная 6 к.1'!D27+#REF!+'Пионерская 2'!D27+'Телевизионная 2 к.1'!D27+'Чичерина 16'!D27+'Чичерина 22'!D27+#REF!+'Ленина 68,8'!D27+'Ленина 67'!D27+'Огарева 20'!D26+'Пролетарская 40'!D26+'Чижевского 4'!D27</f>
        <v>#REF!</v>
      </c>
      <c r="E27" s="8" t="e">
        <f>'Телевизионная 2а'!E26+'Пионерская 16'!#REF!+' Пионерская 1318 кв.1-50'!E26+'Багговута 12'!E27+'Пионерская 15'!E26+'Социалистическая 3'!E27+'Социалистическая 4'!E27+'Социалистическая 6'!E27+'Социалистическая 6 к.1'!E27+'Социалистическая 9'!E27+'Социалистическая 12'!E27+'Телевизионная 2'!E27+'Телевизионная 4'!E27+'Чичерина 7а'!E27+'Чичерина 8'!E27+#REF!+'Чичерина 16 к. 1'!E27+'пер.Чичерина 24'!E26+'пер. Чичерина 28'!E27+'Калинина 12'!E28+'Калинина 18'!E27+'Калинина 23'!E27+'Пионерская 9'!E27+'Высокая 4'!E27+'Пухова 15'!E27+#REF!+#REF!+'Пухова 17'!E27+'Калинина 4'!E27+'Пионерская 18'!E27+'Чичерина 12 к.1'!E27+'Телевизионная 6 к.1'!E27+#REF!+'Пионерская 2'!E27+'Телевизионная 2 к.1'!E27+'Чичерина 16'!E27+'Чичерина 22'!E27+#REF!+'Ленина 68,8'!E27+'Ленина 67'!E27+'Огарева 20'!E26+'Пролетарская 40'!E26+'Чижевского 4'!E27</f>
        <v>#REF!</v>
      </c>
      <c r="F27" s="8" t="e">
        <f>'Телевизионная 2а'!F26+'Пионерская 16'!#REF!+' Пионерская 1318 кв.1-50'!F26+'Багговута 12'!F27+'Пионерская 15'!F26+'Социалистическая 3'!F27+'Социалистическая 4'!F27+'Социалистическая 6'!F27+'Социалистическая 6 к.1'!F27+'Социалистическая 9'!F27+'Социалистическая 12'!F27+'Телевизионная 2'!F27+'Телевизионная 4'!F27+'Чичерина 7а'!F27+'Чичерина 8'!F27+#REF!+'Чичерина 16 к. 1'!F27+'пер.Чичерина 24'!F26+'пер. Чичерина 28'!F27+'Калинина 12'!F28+'Калинина 18'!F27+'Калинина 23'!F27+'Пионерская 9'!F27+'Высокая 4'!F27+'Пухова 15'!F27+#REF!+#REF!+'Пухова 17'!F27+'Калинина 4'!F27+'Пионерская 18'!F27+'Чичерина 12 к.1'!F27+'Телевизионная 6 к.1'!F27+#REF!+'Пионерская 2'!F27+'Телевизионная 2 к.1'!F27+'Чичерина 16'!F27+'Чичерина 22'!F27+#REF!+'Ленина 68,8'!F27+'Ленина 67'!F27+'Огарева 20'!F26+'Пролетарская 40'!F26+'Чижевского 4'!F27</f>
        <v>#REF!</v>
      </c>
      <c r="G27" s="8" t="e">
        <f>'Телевизионная 2а'!G26+'Пионерская 16'!#REF!+' Пионерская 1318 кв.1-50'!G26+'Багговута 12'!G27+'Пионерская 15'!G26+'Социалистическая 3'!G27+'Социалистическая 4'!G27+'Социалистическая 6'!G27+'Социалистическая 6 к.1'!G27+'Социалистическая 9'!G27+'Социалистическая 12'!G27+'Телевизионная 2'!G27+'Телевизионная 4'!G27+'Чичерина 7а'!G27+'Чичерина 8'!G27+#REF!+'Чичерина 16 к. 1'!G27+'пер.Чичерина 24'!G26+'пер. Чичерина 28'!G27+'Калинина 12'!G28+'Калинина 18'!G27+'Калинина 23'!G27+'Пионерская 9'!G27+'Высокая 4'!G27+'Пухова 15'!G27+#REF!+#REF!+'Пухова 17'!G27+'Калинина 4'!G27+'Пионерская 18'!G27+'Чичерина 12 к.1'!G27+'Телевизионная 6 к.1'!G27+#REF!+'Пионерская 2'!G27+'Телевизионная 2 к.1'!G27+'Чичерина 16'!G27+'Чичерина 22'!G27+#REF!+'Ленина 68,8'!G27+'Ленина 67'!G27+'Огарева 20'!G26+'Пролетарская 40'!G26+'Чижевского 4'!G27</f>
        <v>#REF!</v>
      </c>
    </row>
    <row r="28" spans="1:7" ht="30">
      <c r="A28" s="7" t="s">
        <v>35</v>
      </c>
      <c r="B28" s="7" t="s">
        <v>36</v>
      </c>
      <c r="C28" s="25">
        <f>SUM(C29:C32)</f>
        <v>1680.9299999999998</v>
      </c>
      <c r="D28" s="8" t="e">
        <f>'Телевизионная 2а'!D27+'Пионерская 16'!D25+' Пионерская 1318 кв.1-50'!D27+'Багговута 12'!D28+'Пионерская 15'!D27+'Социалистическая 3'!D28+'Социалистическая 4'!D28+'Социалистическая 6'!D28+'Социалистическая 6 к.1'!D28+'Социалистическая 9'!D28+'Социалистическая 12'!D28+'Телевизионная 2'!D28+'Телевизионная 4'!D28+'Чичерина 7а'!D28+'Чичерина 8'!D28+#REF!+'Чичерина 16 к. 1'!D28+'пер.Чичерина 24'!D27+'пер. Чичерина 28'!D28+'Калинина 12'!D29+'Калинина 18'!D28+'Калинина 23'!D28+'Пионерская 9'!D28+'Высокая 4'!D28+'Пухова 15'!D28+#REF!+#REF!+'Пухова 17'!D28+'Калинина 4'!D29+'Пионерская 18'!D28+'Чичерина 12 к.1'!D28+'Телевизионная 6 к.1'!D28+#REF!+'Пионерская 2'!D28+'Телевизионная 2 к.1'!D28+'Чичерина 16'!D28+'Чичерина 22'!D28+#REF!+'Ленина 68,8'!D29+'Ленина 67'!D28+'Огарева 20'!D27+'Пролетарская 40'!D27+'Чижевского 4'!D28</f>
        <v>#REF!</v>
      </c>
      <c r="E28" s="8" t="e">
        <f>'Телевизионная 2а'!E27+'Пионерская 16'!E25+' Пионерская 1318 кв.1-50'!E27+'Багговута 12'!E28+'Пионерская 15'!E27+'Социалистическая 3'!E28+'Социалистическая 4'!E28+'Социалистическая 6'!E28+'Социалистическая 6 к.1'!E28+'Социалистическая 9'!E28+'Социалистическая 12'!E28+'Телевизионная 2'!E28+'Телевизионная 4'!E28+'Чичерина 7а'!E28+'Чичерина 8'!E28+#REF!+'Чичерина 16 к. 1'!E28+'пер.Чичерина 24'!E27+'пер. Чичерина 28'!E28+'Калинина 12'!E29+'Калинина 18'!E28+'Калинина 23'!E28+'Пионерская 9'!E28+'Высокая 4'!E28+'Пухова 15'!E28+#REF!+#REF!+'Пухова 17'!E28+'Калинина 4'!E29+'Пионерская 18'!E28+'Чичерина 12 к.1'!E28+'Телевизионная 6 к.1'!E28+#REF!+'Пионерская 2'!E28+'Телевизионная 2 к.1'!E28+'Чичерина 16'!E28+'Чичерина 22'!E28+#REF!+'Ленина 68,8'!E29+'Ленина 67'!E28+'Огарева 20'!E27+'Пролетарская 40'!E27+'Чижевского 4'!E28</f>
        <v>#REF!</v>
      </c>
      <c r="F28" s="8" t="e">
        <f>'Телевизионная 2а'!F27+'Пионерская 16'!F25+' Пионерская 1318 кв.1-50'!F27+'Багговута 12'!F28+'Пионерская 15'!F27+'Социалистическая 3'!F28+'Социалистическая 4'!F28+'Социалистическая 6'!F28+'Социалистическая 6 к.1'!F28+'Социалистическая 9'!F28+'Социалистическая 12'!F28+'Телевизионная 2'!F28+'Телевизионная 4'!F28+'Чичерина 7а'!F28+'Чичерина 8'!F28+#REF!+'Чичерина 16 к. 1'!F28+'пер.Чичерина 24'!F27+'пер. Чичерина 28'!F28+'Калинина 12'!F29+'Калинина 18'!F28+'Калинина 23'!F28+'Пионерская 9'!F28+'Высокая 4'!F28+'Пухова 15'!F28+#REF!+#REF!+'Пухова 17'!F28+'Калинина 4'!F29+'Пионерская 18'!F28+'Чичерина 12 к.1'!F28+'Телевизионная 6 к.1'!F28+#REF!+'Пионерская 2'!F28+'Телевизионная 2 к.1'!F28+'Чичерина 16'!F28+'Чичерина 22'!F28+#REF!+'Ленина 68,8'!F29+'Ленина 67'!F28+'Огарева 20'!F27+'Пролетарская 40'!F27+'Чижевского 4'!F28</f>
        <v>#REF!</v>
      </c>
      <c r="G28" s="8" t="e">
        <f>'Телевизионная 2а'!G27+'Пионерская 16'!G25+' Пионерская 1318 кв.1-50'!G27+'Багговута 12'!G28+'Пионерская 15'!G27+'Социалистическая 3'!G28+'Социалистическая 4'!G28+'Социалистическая 6'!G28+'Социалистическая 6 к.1'!G28+'Социалистическая 9'!G28+'Социалистическая 12'!G28+'Телевизионная 2'!G28+'Телевизионная 4'!G28+'Чичерина 7а'!G28+'Чичерина 8'!G28+#REF!+'Чичерина 16 к. 1'!G28+'пер.Чичерина 24'!G27+'пер. Чичерина 28'!G28+'Калинина 12'!G29+'Калинина 18'!G28+'Калинина 23'!G28+'Пионерская 9'!G28+'Высокая 4'!G28+'Пухова 15'!G28+#REF!+#REF!+'Пухова 17'!G28+'Калинина 4'!G29+'Пионерская 18'!G28+'Чичерина 12 к.1'!G28+'Телевизионная 6 к.1'!G28+#REF!+'Пионерская 2'!G28+'Телевизионная 2 к.1'!G28+'Чичерина 16'!G28+'Чичерина 22'!G28+#REF!+'Ленина 68,8'!G29+'Ленина 67'!G28+'Огарева 20'!G27+'Пролетарская 40'!G27+'Чижевского 4'!G28</f>
        <v>#REF!</v>
      </c>
    </row>
    <row r="29" spans="1:7" ht="15">
      <c r="A29" s="7" t="s">
        <v>37</v>
      </c>
      <c r="B29" s="7" t="s">
        <v>93</v>
      </c>
      <c r="C29" s="12">
        <v>3.13</v>
      </c>
      <c r="D29" s="8" t="e">
        <f>'Телевизионная 2а'!D28+'Пионерская 16'!D26+' Пионерская 1318 кв.1-50'!D28+'Багговута 12'!D29+'Пионерская 15'!D28+'Социалистическая 3'!D29+'Социалистическая 4'!D29+'Социалистическая 6'!D29+'Социалистическая 6 к.1'!D29+'Социалистическая 9'!D29+'Социалистическая 12'!D29+'Телевизионная 2'!D29+'Телевизионная 4'!D29+'Чичерина 7а'!D29+'Чичерина 8'!D29+#REF!+'Чичерина 16 к. 1'!D29+'пер.Чичерина 24'!D28+'пер. Чичерина 28'!D29+'Калинина 12'!D30+'Калинина 18'!D29+'Калинина 23'!D29+'Пионерская 9'!D29+'Высокая 4'!D29+'Пухова 15'!D29+#REF!+#REF!+'Пухова 17'!D29+'Калинина 4'!D30+'Пионерская 18'!D29+'Чичерина 12 к.1'!D29+'Телевизионная 6 к.1'!D29+#REF!+'Пионерская 2'!D29+'Телевизионная 2 к.1'!D29+'Чичерина 16'!D29+'Чичерина 22'!D29+#REF!+'Ленина 68,8'!D30+'Ленина 67'!D29+'Огарева 20'!D28+'Пролетарская 40'!D28+'Чижевского 4'!D29</f>
        <v>#REF!</v>
      </c>
      <c r="E29" s="8" t="e">
        <f>'Телевизионная 2а'!E28+'Пионерская 16'!E26+' Пионерская 1318 кв.1-50'!E28+'Багговута 12'!E29+'Пионерская 15'!E28+'Социалистическая 3'!E29+'Социалистическая 4'!E29+'Социалистическая 6'!E29+'Социалистическая 6 к.1'!E29+'Социалистическая 9'!E29+'Социалистическая 12'!E29+'Телевизионная 2'!E29+'Телевизионная 4'!E29+'Чичерина 7а'!E29+'Чичерина 8'!E29+#REF!+'Чичерина 16 к. 1'!E29+'пер.Чичерина 24'!E28+'пер. Чичерина 28'!E29+'Калинина 12'!E30+'Калинина 18'!E29+'Калинина 23'!E29+'Пионерская 9'!E29+'Высокая 4'!E29+'Пухова 15'!E29+#REF!+#REF!+'Пухова 17'!E29+'Калинина 4'!E30+'Пионерская 18'!E29+'Чичерина 12 к.1'!E29+'Телевизионная 6 к.1'!E29+#REF!+'Пионерская 2'!E29+'Телевизионная 2 к.1'!E29+'Чичерина 16'!E29+'Чичерина 22'!E29+#REF!+'Ленина 68,8'!E30+'Ленина 67'!E29+'Огарева 20'!E28+'Пролетарская 40'!E28+'Чижевского 4'!E29</f>
        <v>#REF!</v>
      </c>
      <c r="F29" s="8" t="e">
        <f>'Телевизионная 2а'!F28+'Пионерская 16'!F26+' Пионерская 1318 кв.1-50'!F28+'Багговута 12'!F29+'Пионерская 15'!F28+'Социалистическая 3'!F29+'Социалистическая 4'!F29+'Социалистическая 6'!F29+'Социалистическая 6 к.1'!F29+'Социалистическая 9'!F29+'Социалистическая 12'!F29+'Телевизионная 2'!F29+'Телевизионная 4'!F29+'Чичерина 7а'!F29+'Чичерина 8'!F29+#REF!+'Чичерина 16 к. 1'!F29+'пер.Чичерина 24'!F28+'пер. Чичерина 28'!F29+'Калинина 12'!F30+'Калинина 18'!F29+'Калинина 23'!F29+'Пионерская 9'!F29+'Высокая 4'!F29+'Пухова 15'!F29+#REF!+#REF!+'Пухова 17'!F29+'Калинина 4'!F30+'Пионерская 18'!F29+'Чичерина 12 к.1'!F29+'Телевизионная 6 к.1'!F29+#REF!+'Пионерская 2'!F29+'Телевизионная 2 к.1'!F29+'Чичерина 16'!F29+'Чичерина 22'!F29+#REF!+'Ленина 68,8'!F30+'Ленина 67'!F29+'Огарева 20'!F28+'Пролетарская 40'!F28+'Чижевского 4'!F29</f>
        <v>#REF!</v>
      </c>
      <c r="G29" s="8" t="e">
        <f>'Телевизионная 2а'!G28+'Пионерская 16'!G26+' Пионерская 1318 кв.1-50'!G28+'Багговута 12'!G29+'Пионерская 15'!G28+'Социалистическая 3'!G29+'Социалистическая 4'!G29+'Социалистическая 6'!G29+'Социалистическая 6 к.1'!G29+'Социалистическая 9'!G29+'Социалистическая 12'!G29+'Телевизионная 2'!G29+'Телевизионная 4'!G29+'Чичерина 7а'!G29+'Чичерина 8'!G29+#REF!+'Чичерина 16 к. 1'!G29+'пер.Чичерина 24'!G28+'пер. Чичерина 28'!G29+'Калинина 12'!G30+'Калинина 18'!G29+'Калинина 23'!G29+'Пионерская 9'!G29+'Высокая 4'!G29+'Пухова 15'!G29+#REF!+#REF!+'Пухова 17'!G29+'Калинина 4'!G30+'Пионерская 18'!G29+'Чичерина 12 к.1'!G29+'Телевизионная 6 к.1'!G29+#REF!+'Пионерская 2'!G29+'Телевизионная 2 к.1'!G29+'Чичерина 16'!G29+'Чичерина 22'!G29+#REF!+'Ленина 68,8'!G30+'Ленина 67'!G29+'Огарева 20'!G28+'Пролетарская 40'!G28+'Чижевского 4'!G29</f>
        <v>#REF!</v>
      </c>
    </row>
    <row r="30" spans="1:7" ht="15">
      <c r="A30" s="7" t="s">
        <v>39</v>
      </c>
      <c r="B30" s="7" t="s">
        <v>38</v>
      </c>
      <c r="C30" s="12">
        <v>18.21</v>
      </c>
      <c r="D30" s="8" t="e">
        <f>'Телевизионная 2а'!D29+'Пионерская 16'!D27+' Пионерская 1318 кв.1-50'!D29+'Багговута 12'!D30+'Пионерская 15'!D29+'Социалистическая 3'!D30+'Социалистическая 4'!D30+'Социалистическая 6'!D30+'Социалистическая 6 к.1'!D30+'Социалистическая 9'!D30+'Социалистическая 12'!D30+'Телевизионная 2'!D30+'Телевизионная 4'!D30+'Чичерина 7а'!D30+'Чичерина 8'!D30+#REF!+'Чичерина 16 к. 1'!D30+'пер.Чичерина 24'!D29+'пер. Чичерина 28'!D30+'Калинина 12'!D31+'Калинина 18'!D30+'Калинина 23'!D30+'Пионерская 9'!D30+'Высокая 4'!D30+'Пухова 15'!D30+#REF!+#REF!+'Пухова 17'!D30+'Калинина 4'!D31+'Пионерская 18'!D30+'Чичерина 12 к.1'!D30+'Телевизионная 6 к.1'!D30+#REF!+'Пионерская 2'!D30+'Телевизионная 2 к.1'!D30+'Чичерина 16'!D30+'Чичерина 22'!D30+#REF!+'Ленина 68,8'!D31+'Ленина 67'!D30+'Огарева 20'!D29+'Пролетарская 40'!D29+'Чижевского 4'!D30</f>
        <v>#REF!</v>
      </c>
      <c r="E30" s="8" t="e">
        <f>'Телевизионная 2а'!E29+'Пионерская 16'!E27+' Пионерская 1318 кв.1-50'!E29+'Багговута 12'!E30+'Пионерская 15'!E29+'Социалистическая 3'!E30+'Социалистическая 4'!E30+'Социалистическая 6'!E30+'Социалистическая 6 к.1'!E30+'Социалистическая 9'!E30+'Социалистическая 12'!E30+'Телевизионная 2'!E30+'Телевизионная 4'!E30+'Чичерина 7а'!E30+'Чичерина 8'!E30+#REF!+'Чичерина 16 к. 1'!E30+'пер.Чичерина 24'!E29+'пер. Чичерина 28'!E30+'Калинина 12'!E31+'Калинина 18'!E30+'Калинина 23'!E30+'Пионерская 9'!E30+'Высокая 4'!E30+'Пухова 15'!E30+#REF!+#REF!+'Пухова 17'!E30+'Калинина 4'!E31+'Пионерская 18'!E30+'Чичерина 12 к.1'!E30+'Телевизионная 6 к.1'!E30+#REF!+'Пионерская 2'!E30+'Телевизионная 2 к.1'!E30+'Чичерина 16'!E30+'Чичерина 22'!E30+#REF!+'Ленина 68,8'!E31+'Ленина 67'!E30+'Огарева 20'!E29+'Пролетарская 40'!E29+'Чижевского 4'!E30</f>
        <v>#REF!</v>
      </c>
      <c r="F30" s="8" t="e">
        <f>'Телевизионная 2а'!F29+'Пионерская 16'!F27+' Пионерская 1318 кв.1-50'!F29+'Багговута 12'!F30+'Пионерская 15'!F29+'Социалистическая 3'!F30+'Социалистическая 4'!F30+'Социалистическая 6'!F30+'Социалистическая 6 к.1'!F30+'Социалистическая 9'!F30+'Социалистическая 12'!F30+'Телевизионная 2'!F30+'Телевизионная 4'!F30+'Чичерина 7а'!F30+'Чичерина 8'!F30+#REF!+'Чичерина 16 к. 1'!F30+'пер.Чичерина 24'!F29+'пер. Чичерина 28'!F30+'Калинина 12'!F31+'Калинина 18'!F30+'Калинина 23'!F30+'Пионерская 9'!F30+'Высокая 4'!F30+'Пухова 15'!F30+#REF!+#REF!+'Пухова 17'!F30+'Калинина 4'!F31+'Пионерская 18'!F30+'Чичерина 12 к.1'!F30+'Телевизионная 6 к.1'!F30+#REF!+'Пионерская 2'!F30+'Телевизионная 2 к.1'!F30+'Чичерина 16'!F30+'Чичерина 22'!F30+#REF!+'Ленина 68,8'!F31+'Ленина 67'!F30+'Огарева 20'!F29+'Пролетарская 40'!F29+'Чижевского 4'!F30</f>
        <v>#REF!</v>
      </c>
      <c r="G30" s="8" t="e">
        <f>'Телевизионная 2а'!G29+'Пионерская 16'!G27+' Пионерская 1318 кв.1-50'!G29+'Багговута 12'!G30+'Пионерская 15'!G29+'Социалистическая 3'!G30+'Социалистическая 4'!G30+'Социалистическая 6'!G30+'Социалистическая 6 к.1'!G30+'Социалистическая 9'!G30+'Социалистическая 12'!G30+'Телевизионная 2'!G30+'Телевизионная 4'!G30+'Чичерина 7а'!G30+'Чичерина 8'!G30+#REF!+'Чичерина 16 к. 1'!G30+'пер.Чичерина 24'!G29+'пер. Чичерина 28'!G30+'Калинина 12'!G31+'Калинина 18'!G30+'Калинина 23'!G30+'Пионерская 9'!G30+'Высокая 4'!G30+'Пухова 15'!G30+#REF!+#REF!+'Пухова 17'!G30+'Калинина 4'!G31+'Пионерская 18'!G30+'Чичерина 12 к.1'!G30+'Телевизионная 6 к.1'!G30+#REF!+'Пионерская 2'!G30+'Телевизионная 2 к.1'!G30+'Чичерина 16'!G30+'Чичерина 22'!G30+#REF!+'Ленина 68,8'!G31+'Ленина 67'!G30+'Огарева 20'!G29+'Пролетарская 40'!G29+'Чижевского 4'!G30</f>
        <v>#REF!</v>
      </c>
    </row>
    <row r="31" spans="1:7" ht="15">
      <c r="A31" s="7" t="s">
        <v>42</v>
      </c>
      <c r="B31" s="7" t="s">
        <v>40</v>
      </c>
      <c r="C31" s="12">
        <v>115.3</v>
      </c>
      <c r="D31" s="8" t="e">
        <f>'Телевизионная 2а'!D30+'Пионерская 16'!D28+' Пионерская 1318 кв.1-50'!D30+'Багговута 12'!D31+'Пионерская 15'!D30+'Социалистическая 3'!D31+'Социалистическая 4'!D31+'Социалистическая 6'!D31+'Социалистическая 6 к.1'!D31+'Социалистическая 9'!D31+'Социалистическая 12'!D31+'Телевизионная 2'!D31+'Телевизионная 4'!D31+'Чичерина 7а'!D31+'Чичерина 8'!D31+#REF!+'Чичерина 16 к. 1'!D31+'пер.Чичерина 24'!D30+'пер. Чичерина 28'!D31+'Калинина 12'!D32+'Калинина 18'!D31+'Калинина 23'!D31+'Пионерская 9'!D31+'Высокая 4'!D31+'Пухова 15'!D31+#REF!+#REF!+'Пухова 17'!D31+'Калинина 4'!D32+'Пионерская 18'!D31+'Чичерина 12 к.1'!D31+'Телевизионная 6 к.1'!D31+#REF!+'Пионерская 2'!D31+'Телевизионная 2 к.1'!D31+'Чичерина 16'!D31+'Чичерина 22'!D31+#REF!+'Ленина 68,8'!D32+'Ленина 67'!D31+'Огарева 20'!D30+'Пролетарская 40'!D30+'Чижевского 4'!D31</f>
        <v>#REF!</v>
      </c>
      <c r="E31" s="8" t="e">
        <f>'Телевизионная 2а'!E30+'Пионерская 16'!E28+' Пионерская 1318 кв.1-50'!E30+'Багговута 12'!E31+'Пионерская 15'!E30+'Социалистическая 3'!E31+'Социалистическая 4'!E31+'Социалистическая 6'!E31+'Социалистическая 6 к.1'!E31+'Социалистическая 9'!E31+'Социалистическая 12'!E31+'Телевизионная 2'!E31+'Телевизионная 4'!E31+'Чичерина 7а'!E31+'Чичерина 8'!E31+#REF!+'Чичерина 16 к. 1'!E31+'пер.Чичерина 24'!E30+'пер. Чичерина 28'!E31+'Калинина 12'!E32+'Калинина 18'!E31+'Калинина 23'!E31+'Пионерская 9'!E31+'Высокая 4'!E31+'Пухова 15'!E31+#REF!+#REF!+'Пухова 17'!E31+'Калинина 4'!E32+'Пионерская 18'!E31+'Чичерина 12 к.1'!E31+'Телевизионная 6 к.1'!E31+#REF!+'Пионерская 2'!E31+'Телевизионная 2 к.1'!E31+'Чичерина 16'!E31+'Чичерина 22'!E31+#REF!+'Ленина 68,8'!E32+'Ленина 67'!E31+'Огарева 20'!E30+'Пролетарская 40'!E30+'Чижевского 4'!E31</f>
        <v>#REF!</v>
      </c>
      <c r="F31" s="8" t="e">
        <f>'Телевизионная 2а'!F30+'Пионерская 16'!F28+' Пионерская 1318 кв.1-50'!F30+'Багговута 12'!F31+'Пионерская 15'!F30+'Социалистическая 3'!F31+'Социалистическая 4'!F31+'Социалистическая 6'!F31+'Социалистическая 6 к.1'!F31+'Социалистическая 9'!F31+'Социалистическая 12'!F31+'Телевизионная 2'!F31+'Телевизионная 4'!F31+'Чичерина 7а'!F31+'Чичерина 8'!F31+#REF!+'Чичерина 16 к. 1'!F31+'пер.Чичерина 24'!F30+'пер. Чичерина 28'!F31+'Калинина 12'!F32+'Калинина 18'!F31+'Калинина 23'!F31+'Пионерская 9'!F31+'Высокая 4'!F31+'Пухова 15'!F31+#REF!+#REF!+'Пухова 17'!F31+'Калинина 4'!F32+'Пионерская 18'!F31+'Чичерина 12 к.1'!F31+'Телевизионная 6 к.1'!F31+#REF!+'Пионерская 2'!F31+'Телевизионная 2 к.1'!F31+'Чичерина 16'!F31+'Чичерина 22'!F31+#REF!+'Ленина 68,8'!F32+'Ленина 67'!F31+'Огарева 20'!F30+'Пролетарская 40'!F30+'Чижевского 4'!F31</f>
        <v>#REF!</v>
      </c>
      <c r="G31" s="8" t="e">
        <f>'Телевизионная 2а'!G30+'Пионерская 16'!G28+' Пионерская 1318 кв.1-50'!G30+'Багговута 12'!G31+'Пионерская 15'!G30+'Социалистическая 3'!G31+'Социалистическая 4'!G31+'Социалистическая 6'!G31+'Социалистическая 6 к.1'!G31+'Социалистическая 9'!G31+'Социалистическая 12'!G31+'Телевизионная 2'!G31+'Телевизионная 4'!G31+'Чичерина 7а'!G31+'Чичерина 8'!G31+#REF!+'Чичерина 16 к. 1'!G31+'пер.Чичерина 24'!G30+'пер. Чичерина 28'!G31+'Калинина 12'!G32+'Калинина 18'!G31+'Калинина 23'!G31+'Пионерская 9'!G31+'Высокая 4'!G31+'Пухова 15'!G31+#REF!+#REF!+'Пухова 17'!G31+'Калинина 4'!G32+'Пионерская 18'!G31+'Чичерина 12 к.1'!G31+'Телевизионная 6 к.1'!G31+#REF!+'Пионерская 2'!G31+'Телевизионная 2 к.1'!G31+'Чичерина 16'!G31+'Чичерина 22'!G31+#REF!+'Ленина 68,8'!G32+'Ленина 67'!G31+'Огарева 20'!G30+'Пролетарская 40'!G30+'Чижевского 4'!G31</f>
        <v>#REF!</v>
      </c>
    </row>
    <row r="32" spans="1:7" ht="15">
      <c r="A32" s="7" t="s">
        <v>41</v>
      </c>
      <c r="B32" s="7" t="s">
        <v>43</v>
      </c>
      <c r="C32" s="12">
        <v>1544.29</v>
      </c>
      <c r="D32" s="8" t="e">
        <f>'Телевизионная 2а'!D31+'Пионерская 16'!D29+' Пионерская 1318 кв.1-50'!D31+'Багговута 12'!#REF!+'Пионерская 15'!D31+'Социалистическая 3'!D32+'Социалистическая 4'!D32+'Социалистическая 6'!D32+'Социалистическая 6 к.1'!D32+'Социалистическая 9'!D32+'Социалистическая 12'!D32+'Телевизионная 2'!D32+'Телевизионная 4'!D32+'Чичерина 7а'!D32+'Чичерина 8'!D32+#REF!+'Чичерина 16 к. 1'!D32+'пер.Чичерина 24'!D31+'пер. Чичерина 28'!D32+'Калинина 12'!D33+'Калинина 18'!D32+'Калинина 23'!D32+'Пионерская 9'!D32+'Высокая 4'!D32+'Пухова 15'!D32+#REF!+#REF!+'Пухова 17'!D32+'Калинина 4'!D33+'Пионерская 18'!D32+'Чичерина 12 к.1'!D32+'Телевизионная 6 к.1'!D32+#REF!+'Пионерская 2'!D32+'Телевизионная 2 к.1'!D32+'Чичерина 16'!D32+'Чичерина 22'!D32+#REF!+'Ленина 68,8'!D34+'Ленина 67'!D32+'Огарева 20'!D31+'Пролетарская 40'!D31+'Чижевского 4'!D32</f>
        <v>#REF!</v>
      </c>
      <c r="E32" s="8" t="e">
        <f>'Телевизионная 2а'!E31+'Пионерская 16'!E29+' Пионерская 1318 кв.1-50'!E31+'Багговута 12'!#REF!+'Пионерская 15'!E31+'Социалистическая 3'!E32+'Социалистическая 4'!E32+'Социалистическая 6'!E32+'Социалистическая 6 к.1'!E32+'Социалистическая 9'!E32+'Социалистическая 12'!E32+'Телевизионная 2'!E32+'Телевизионная 4'!E32+'Чичерина 7а'!E32+'Чичерина 8'!E32+#REF!+'Чичерина 16 к. 1'!E32+'пер.Чичерина 24'!E31+'пер. Чичерина 28'!E32+'Калинина 12'!E33+'Калинина 18'!E32+'Калинина 23'!E32+'Пионерская 9'!E32+'Высокая 4'!E32+'Пухова 15'!E32+#REF!+#REF!+'Пухова 17'!E32+'Калинина 4'!E33+'Пионерская 18'!E32+'Чичерина 12 к.1'!E32+'Телевизионная 6 к.1'!E32+#REF!+'Пионерская 2'!E32+'Телевизионная 2 к.1'!E32+'Чичерина 16'!E32+'Чичерина 22'!E32+#REF!+'Ленина 68,8'!E34+'Ленина 67'!E32+'Огарева 20'!E31+'Пролетарская 40'!E31+'Чижевского 4'!E32</f>
        <v>#REF!</v>
      </c>
      <c r="F32" s="8" t="e">
        <f>'Телевизионная 2а'!F31+'Пионерская 16'!F29+' Пионерская 1318 кв.1-50'!F31+'Багговута 12'!#REF!+'Пионерская 15'!F31+'Социалистическая 3'!F32+'Социалистическая 4'!F32+'Социалистическая 6'!F32+'Социалистическая 6 к.1'!F32+'Социалистическая 9'!F32+'Социалистическая 12'!F32+'Телевизионная 2'!F32+'Телевизионная 4'!F32+'Чичерина 7а'!F32+'Чичерина 8'!F32+#REF!+'Чичерина 16 к. 1'!F32+'пер.Чичерина 24'!F31+'пер. Чичерина 28'!F32+'Калинина 12'!F33+'Калинина 18'!F32+'Калинина 23'!F32+'Пионерская 9'!F32+'Высокая 4'!F32+'Пухова 15'!F32+#REF!+#REF!+'Пухова 17'!F32+'Калинина 4'!F33+'Пионерская 18'!F32+'Чичерина 12 к.1'!F32+'Телевизионная 6 к.1'!F32+#REF!+'Пионерская 2'!F32+'Телевизионная 2 к.1'!F32+'Чичерина 16'!F32+'Чичерина 22'!F32+#REF!+'Ленина 68,8'!F34+'Ленина 67'!F32+'Огарева 20'!F31+'Пролетарская 40'!F31+'Чижевского 4'!F32</f>
        <v>#REF!</v>
      </c>
      <c r="G32" s="8" t="e">
        <f>'Телевизионная 2а'!G31+'Пионерская 16'!G29+' Пионерская 1318 кв.1-50'!G31+'Багговута 12'!#REF!+'Пионерская 15'!G31+'Социалистическая 3'!G32+'Социалистическая 4'!G32+'Социалистическая 6'!G32+'Социалистическая 6 к.1'!G32+'Социалистическая 9'!G32+'Социалистическая 12'!G32+'Телевизионная 2'!G32+'Телевизионная 4'!G32+'Чичерина 7а'!G32+'Чичерина 8'!G32+#REF!+'Чичерина 16 к. 1'!G32+'пер.Чичерина 24'!G31+'пер. Чичерина 28'!G32+'Калинина 12'!G33+'Калинина 18'!G32+'Калинина 23'!G32+'Пионерская 9'!G32+'Высокая 4'!G32+'Пухова 15'!G32+#REF!+#REF!+'Пухова 17'!G32+'Калинина 4'!G33+'Пионерская 18'!G32+'Чичерина 12 к.1'!G32+'Телевизионная 6 к.1'!G32+#REF!+'Пионерская 2'!G32+'Телевизионная 2 к.1'!G32+'Чичерина 16'!G32+'Чичерина 22'!G32+#REF!+'Ленина 68,8'!G34+'Ленина 67'!G32+'Огарева 20'!G31+'Пролетарская 40'!G31+'Чижевского 4'!G32</f>
        <v>#REF!</v>
      </c>
    </row>
    <row r="33" spans="1:10" s="16" customFormat="1" ht="13.5">
      <c r="A33" s="524" t="s">
        <v>94</v>
      </c>
      <c r="B33" s="525"/>
      <c r="C33" s="526"/>
      <c r="D33" s="15" t="e">
        <f aca="true" t="shared" si="0" ref="D33:J33">D18+D23+D24+D25+D28</f>
        <v>#REF!</v>
      </c>
      <c r="E33" s="15" t="e">
        <f t="shared" si="0"/>
        <v>#REF!</v>
      </c>
      <c r="F33" s="15" t="e">
        <f t="shared" si="0"/>
        <v>#REF!</v>
      </c>
      <c r="G33" s="15" t="e">
        <f t="shared" si="0"/>
        <v>#REF!</v>
      </c>
      <c r="H33" s="15">
        <f t="shared" si="0"/>
        <v>6.75</v>
      </c>
      <c r="I33" s="15">
        <f t="shared" si="0"/>
        <v>0</v>
      </c>
      <c r="J33" s="15">
        <f t="shared" si="0"/>
        <v>0</v>
      </c>
    </row>
    <row r="34" s="3" customFormat="1" ht="15"/>
    <row r="35" spans="1:9" s="3" customFormat="1" ht="15">
      <c r="A35" s="3" t="s">
        <v>55</v>
      </c>
      <c r="G35" s="3" t="s">
        <v>49</v>
      </c>
      <c r="I35" s="3" t="s">
        <v>90</v>
      </c>
    </row>
    <row r="36" s="3" customFormat="1" ht="15"/>
    <row r="37" s="3" customFormat="1" ht="15"/>
    <row r="38" s="3" customFormat="1" ht="15">
      <c r="G38" s="4" t="s">
        <v>96</v>
      </c>
    </row>
    <row r="39" s="3" customFormat="1" ht="15"/>
    <row r="40" s="3" customFormat="1" ht="15"/>
    <row r="41" s="3" customFormat="1" ht="15">
      <c r="A41" s="3" t="s">
        <v>50</v>
      </c>
    </row>
    <row r="42" spans="3:7" s="3" customFormat="1" ht="15">
      <c r="C42" s="10" t="s">
        <v>51</v>
      </c>
      <c r="E42" s="10"/>
      <c r="F42" s="10"/>
      <c r="G42" s="10"/>
    </row>
    <row r="43" s="3" customFormat="1" ht="15"/>
    <row r="44" s="3" customFormat="1" ht="15"/>
  </sheetData>
  <sheetProtection/>
  <mergeCells count="8">
    <mergeCell ref="A15:I15"/>
    <mergeCell ref="A33:C33"/>
    <mergeCell ref="A1:I1"/>
    <mergeCell ref="A2:I2"/>
    <mergeCell ref="A3:I3"/>
    <mergeCell ref="A5:I5"/>
    <mergeCell ref="A13:I13"/>
    <mergeCell ref="A14:I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P57"/>
  <sheetViews>
    <sheetView zoomScalePageLayoutView="0" workbookViewId="0" topLeftCell="A40">
      <selection activeCell="F48" sqref="F48:G48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140625" style="35" customWidth="1"/>
    <col min="4" max="5" width="13.140625" style="35" bestFit="1" customWidth="1"/>
    <col min="6" max="6" width="15.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4" width="14.7109375" style="35" customWidth="1"/>
    <col min="15" max="15" width="15.7109375" style="35" customWidth="1"/>
    <col min="16" max="16" width="11.00390625" style="35" customWidth="1"/>
    <col min="17" max="17" width="9.140625" style="35" customWidth="1"/>
    <col min="18" max="18" width="13.140625" style="35" bestFit="1" customWidth="1"/>
    <col min="19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9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3.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6" s="67" customFormat="1" ht="16.5" customHeight="1">
      <c r="A7" s="67" t="s">
        <v>2</v>
      </c>
      <c r="F7" s="127" t="s">
        <v>57</v>
      </c>
    </row>
    <row r="8" spans="1:6" s="67" customFormat="1" ht="15">
      <c r="A8" s="67" t="s">
        <v>3</v>
      </c>
      <c r="F8" s="127" t="s">
        <v>414</v>
      </c>
    </row>
    <row r="9" s="67" customFormat="1" ht="12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'[1]Багговута 12'!$G$36</f>
        <v>21645.89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'[1]Багговута 12'!$G$37</f>
        <v>-75469.66010000001</v>
      </c>
      <c r="H15" s="62"/>
      <c r="I15" s="62"/>
    </row>
    <row r="16" s="67" customFormat="1" ht="7.5" customHeight="1"/>
    <row r="17" spans="1:8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  <c r="H17" s="72"/>
    </row>
    <row r="18" spans="1:16" s="168" customFormat="1" ht="14.25">
      <c r="A18" s="75" t="s">
        <v>14</v>
      </c>
      <c r="B18" s="135" t="s">
        <v>15</v>
      </c>
      <c r="C18" s="136">
        <f>C19+C20+C21+C22</f>
        <v>9.879999999999999</v>
      </c>
      <c r="D18" s="76">
        <v>347989.72</v>
      </c>
      <c r="E18" s="76">
        <v>323630.32</v>
      </c>
      <c r="F18" s="76">
        <f aca="true" t="shared" si="0" ref="F18:F24">D18</f>
        <v>347989.72</v>
      </c>
      <c r="G18" s="77">
        <f>D18-E18</f>
        <v>24359.399999999965</v>
      </c>
      <c r="H18" s="167">
        <f>C18</f>
        <v>9.879999999999999</v>
      </c>
      <c r="N18" s="167"/>
      <c r="O18" s="167"/>
      <c r="P18" s="167"/>
    </row>
    <row r="19" spans="1:9" s="67" customFormat="1" ht="15">
      <c r="A19" s="81" t="s">
        <v>16</v>
      </c>
      <c r="B19" s="140" t="s">
        <v>17</v>
      </c>
      <c r="C19" s="99">
        <v>3.46</v>
      </c>
      <c r="D19" s="83">
        <f>D18*I19</f>
        <v>121866.8452631579</v>
      </c>
      <c r="E19" s="83">
        <f>E18*I19</f>
        <v>113336.12421052632</v>
      </c>
      <c r="F19" s="83">
        <f t="shared" si="0"/>
        <v>121866.8452631579</v>
      </c>
      <c r="G19" s="84">
        <f>D19-E19</f>
        <v>8530.721052631576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140" t="s">
        <v>19</v>
      </c>
      <c r="C20" s="99">
        <v>1.69</v>
      </c>
      <c r="D20" s="83">
        <f>D18*I20</f>
        <v>59524.55736842105</v>
      </c>
      <c r="E20" s="83">
        <f>E18*I20</f>
        <v>55357.81789473684</v>
      </c>
      <c r="F20" s="83">
        <f t="shared" si="0"/>
        <v>59524.55736842105</v>
      </c>
      <c r="G20" s="84">
        <f>D20-E20</f>
        <v>4166.739473684203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140" t="s">
        <v>21</v>
      </c>
      <c r="C21" s="99">
        <v>1.69</v>
      </c>
      <c r="D21" s="83">
        <f>D18*I21</f>
        <v>59524.55736842105</v>
      </c>
      <c r="E21" s="83">
        <f>E18*I21</f>
        <v>55357.81789473684</v>
      </c>
      <c r="F21" s="83">
        <f t="shared" si="0"/>
        <v>59524.55736842105</v>
      </c>
      <c r="G21" s="84">
        <f>D21-E21</f>
        <v>4166.739473684203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140" t="s">
        <v>23</v>
      </c>
      <c r="C22" s="99">
        <v>3.04</v>
      </c>
      <c r="D22" s="83">
        <f>D18*I22</f>
        <v>107073.76</v>
      </c>
      <c r="E22" s="83">
        <f>E18*I22</f>
        <v>99578.56000000001</v>
      </c>
      <c r="F22" s="83">
        <f t="shared" si="0"/>
        <v>107073.76</v>
      </c>
      <c r="G22" s="84">
        <f>D22-E22</f>
        <v>7495.1999999999825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28</v>
      </c>
      <c r="C23" s="142">
        <v>0</v>
      </c>
      <c r="D23" s="77">
        <v>0</v>
      </c>
      <c r="E23" s="77">
        <v>0</v>
      </c>
      <c r="F23" s="77">
        <f t="shared" si="0"/>
        <v>0</v>
      </c>
      <c r="G23" s="77">
        <f aca="true" t="shared" si="1" ref="G23:G31">D23-E23</f>
        <v>0</v>
      </c>
    </row>
    <row r="24" spans="1:7" s="39" customFormat="1" ht="14.25">
      <c r="A24" s="41" t="s">
        <v>27</v>
      </c>
      <c r="B24" s="141" t="s">
        <v>163</v>
      </c>
      <c r="C24" s="142" t="s">
        <v>334</v>
      </c>
      <c r="D24" s="77">
        <v>0</v>
      </c>
      <c r="E24" s="77">
        <v>0</v>
      </c>
      <c r="F24" s="77">
        <f t="shared" si="0"/>
        <v>0</v>
      </c>
      <c r="G24" s="77">
        <f t="shared" si="1"/>
        <v>0</v>
      </c>
    </row>
    <row r="25" spans="1:7" s="39" customFormat="1" ht="14.25">
      <c r="A25" s="41" t="s">
        <v>29</v>
      </c>
      <c r="B25" s="141" t="s">
        <v>116</v>
      </c>
      <c r="C25" s="142">
        <v>1.86</v>
      </c>
      <c r="D25" s="77">
        <v>62753.6</v>
      </c>
      <c r="E25" s="77">
        <v>60926.74</v>
      </c>
      <c r="F25" s="87">
        <f>F43</f>
        <v>43377.0174</v>
      </c>
      <c r="G25" s="77">
        <f t="shared" si="1"/>
        <v>1826.8600000000006</v>
      </c>
    </row>
    <row r="26" spans="1:7" s="39" customFormat="1" ht="14.25">
      <c r="A26" s="41" t="s">
        <v>198</v>
      </c>
      <c r="B26" s="135" t="s">
        <v>34</v>
      </c>
      <c r="C26" s="136">
        <v>0</v>
      </c>
      <c r="D26" s="77"/>
      <c r="E26" s="77">
        <v>101.52</v>
      </c>
      <c r="F26" s="87">
        <f aca="true" t="shared" si="2" ref="F26:F31">D26</f>
        <v>0</v>
      </c>
      <c r="G26" s="77">
        <f t="shared" si="1"/>
        <v>-101.52</v>
      </c>
    </row>
    <row r="27" spans="1:7" s="39" customFormat="1" ht="14.25">
      <c r="A27" s="41" t="s">
        <v>199</v>
      </c>
      <c r="B27" s="135" t="s">
        <v>36</v>
      </c>
      <c r="C27" s="136"/>
      <c r="D27" s="77">
        <f>SUM(D28:D31)</f>
        <v>1357698.21</v>
      </c>
      <c r="E27" s="77">
        <f>SUM(E28:E31)</f>
        <v>1327920.1600000001</v>
      </c>
      <c r="F27" s="77">
        <f>SUM(F28:F31)</f>
        <v>1357698.21</v>
      </c>
      <c r="G27" s="77">
        <f t="shared" si="1"/>
        <v>29778.049999999814</v>
      </c>
    </row>
    <row r="28" spans="1:7" s="39" customFormat="1" ht="15">
      <c r="A28" s="34" t="s">
        <v>200</v>
      </c>
      <c r="B28" s="34" t="s">
        <v>167</v>
      </c>
      <c r="C28" s="289" t="s">
        <v>406</v>
      </c>
      <c r="D28" s="291">
        <v>31430.25</v>
      </c>
      <c r="E28" s="291">
        <v>30464.27</v>
      </c>
      <c r="F28" s="293">
        <f t="shared" si="2"/>
        <v>31430.25</v>
      </c>
      <c r="G28" s="84">
        <f t="shared" si="1"/>
        <v>965.9799999999996</v>
      </c>
    </row>
    <row r="29" spans="1:7" ht="15">
      <c r="A29" s="34" t="s">
        <v>201</v>
      </c>
      <c r="B29" s="140" t="s">
        <v>421</v>
      </c>
      <c r="C29" s="289" t="s">
        <v>409</v>
      </c>
      <c r="D29" s="291">
        <v>396132.74</v>
      </c>
      <c r="E29" s="291">
        <v>397332.49</v>
      </c>
      <c r="F29" s="293">
        <f t="shared" si="2"/>
        <v>396132.74</v>
      </c>
      <c r="G29" s="84">
        <f t="shared" si="1"/>
        <v>-1199.75</v>
      </c>
    </row>
    <row r="30" spans="1:7" ht="15">
      <c r="A30" s="34" t="s">
        <v>202</v>
      </c>
      <c r="B30" s="34" t="s">
        <v>40</v>
      </c>
      <c r="C30" s="290">
        <v>0</v>
      </c>
      <c r="D30" s="291">
        <v>0</v>
      </c>
      <c r="E30" s="291">
        <v>0</v>
      </c>
      <c r="F30" s="293">
        <f t="shared" si="2"/>
        <v>0</v>
      </c>
      <c r="G30" s="84">
        <f t="shared" si="1"/>
        <v>0</v>
      </c>
    </row>
    <row r="31" spans="1:7" ht="15">
      <c r="A31" s="34" t="s">
        <v>203</v>
      </c>
      <c r="B31" s="34" t="s">
        <v>43</v>
      </c>
      <c r="C31" s="289" t="s">
        <v>407</v>
      </c>
      <c r="D31" s="291">
        <v>930135.22</v>
      </c>
      <c r="E31" s="291">
        <v>900123.4</v>
      </c>
      <c r="F31" s="293">
        <f t="shared" si="2"/>
        <v>930135.22</v>
      </c>
      <c r="G31" s="84">
        <f t="shared" si="1"/>
        <v>30011.81999999995</v>
      </c>
    </row>
    <row r="32" spans="1:10" s="102" customFormat="1" ht="6" customHeight="1">
      <c r="A32" s="104"/>
      <c r="B32" s="104"/>
      <c r="C32" s="104"/>
      <c r="D32" s="101"/>
      <c r="E32" s="101"/>
      <c r="F32" s="101"/>
      <c r="G32" s="101"/>
      <c r="H32" s="101"/>
      <c r="I32" s="101"/>
      <c r="J32" s="101"/>
    </row>
    <row r="33" spans="1:10" s="102" customFormat="1" ht="18.75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493206.75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G14+E26-F26</f>
        <v>21747.41</v>
      </c>
      <c r="H36" s="62"/>
      <c r="I36" s="62"/>
    </row>
    <row r="37" spans="1:13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G15+E25-F25</f>
        <v>-57919.93750000001</v>
      </c>
      <c r="H37" s="62"/>
      <c r="I37" s="62"/>
      <c r="M37" s="146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2:5" ht="9.75" customHeight="1">
      <c r="B39" s="155"/>
      <c r="C39" s="155"/>
      <c r="D39" s="155"/>
      <c r="E39" s="155"/>
    </row>
    <row r="40" spans="1:9" ht="26.25" customHeight="1">
      <c r="A40" s="377" t="s">
        <v>44</v>
      </c>
      <c r="B40" s="377"/>
      <c r="C40" s="377"/>
      <c r="D40" s="377"/>
      <c r="E40" s="377"/>
      <c r="F40" s="377"/>
      <c r="G40" s="377"/>
      <c r="H40" s="377"/>
      <c r="I40" s="377"/>
    </row>
    <row r="41" ht="7.5" customHeight="1"/>
    <row r="42" spans="1:7" s="172" customFormat="1" ht="28.5" customHeight="1">
      <c r="A42" s="105" t="s">
        <v>11</v>
      </c>
      <c r="B42" s="177" t="s">
        <v>45</v>
      </c>
      <c r="C42" s="178"/>
      <c r="D42" s="105" t="s">
        <v>165</v>
      </c>
      <c r="E42" s="105" t="s">
        <v>164</v>
      </c>
      <c r="F42" s="401" t="s">
        <v>46</v>
      </c>
      <c r="G42" s="419"/>
    </row>
    <row r="43" spans="1:7" s="115" customFormat="1" ht="13.5" customHeight="1">
      <c r="A43" s="109" t="s">
        <v>47</v>
      </c>
      <c r="B43" s="403" t="s">
        <v>111</v>
      </c>
      <c r="C43" s="425"/>
      <c r="D43" s="109"/>
      <c r="E43" s="109"/>
      <c r="F43" s="430">
        <f>SUM(F44:G49)</f>
        <v>43377.0174</v>
      </c>
      <c r="G43" s="419"/>
    </row>
    <row r="44" spans="1:7" ht="15">
      <c r="A44" s="34" t="s">
        <v>16</v>
      </c>
      <c r="B44" s="366" t="s">
        <v>682</v>
      </c>
      <c r="C44" s="367"/>
      <c r="D44" s="349" t="s">
        <v>229</v>
      </c>
      <c r="E44" s="349">
        <v>0.04</v>
      </c>
      <c r="F44" s="431">
        <v>8802.24</v>
      </c>
      <c r="G44" s="431"/>
    </row>
    <row r="45" spans="1:7" ht="17.25" customHeight="1">
      <c r="A45" s="34" t="s">
        <v>18</v>
      </c>
      <c r="B45" s="366" t="s">
        <v>683</v>
      </c>
      <c r="C45" s="367"/>
      <c r="D45" s="349" t="s">
        <v>229</v>
      </c>
      <c r="E45" s="349">
        <v>0.03</v>
      </c>
      <c r="F45" s="431">
        <v>5065.51</v>
      </c>
      <c r="G45" s="431"/>
    </row>
    <row r="46" spans="1:7" ht="15">
      <c r="A46" s="34" t="s">
        <v>20</v>
      </c>
      <c r="B46" s="149" t="s">
        <v>692</v>
      </c>
      <c r="C46" s="150"/>
      <c r="D46" s="119"/>
      <c r="E46" s="119"/>
      <c r="F46" s="429">
        <v>8900</v>
      </c>
      <c r="G46" s="429"/>
    </row>
    <row r="47" spans="1:7" ht="15">
      <c r="A47" s="34" t="s">
        <v>22</v>
      </c>
      <c r="B47" s="149" t="s">
        <v>693</v>
      </c>
      <c r="C47" s="150"/>
      <c r="D47" s="119" t="s">
        <v>166</v>
      </c>
      <c r="E47" s="122">
        <v>2</v>
      </c>
      <c r="F47" s="429">
        <v>20000</v>
      </c>
      <c r="G47" s="429"/>
    </row>
    <row r="48" spans="1:7" ht="15">
      <c r="A48" s="34" t="s">
        <v>24</v>
      </c>
      <c r="B48" s="149"/>
      <c r="C48" s="150"/>
      <c r="D48" s="119"/>
      <c r="E48" s="122"/>
      <c r="F48" s="429"/>
      <c r="G48" s="429"/>
    </row>
    <row r="49" spans="1:7" ht="15">
      <c r="A49" s="34" t="s">
        <v>103</v>
      </c>
      <c r="B49" s="149" t="s">
        <v>191</v>
      </c>
      <c r="C49" s="150"/>
      <c r="D49" s="179"/>
      <c r="E49" s="179"/>
      <c r="F49" s="429">
        <f>E25*1%</f>
        <v>609.2674</v>
      </c>
      <c r="G49" s="429"/>
    </row>
    <row r="50" spans="1:7" ht="12.75" customHeight="1">
      <c r="A50" s="169"/>
      <c r="B50" s="180"/>
      <c r="C50" s="180"/>
      <c r="D50" s="180"/>
      <c r="E50" s="180"/>
      <c r="F50" s="181"/>
      <c r="G50" s="181"/>
    </row>
    <row r="51" spans="1:7" ht="12.75" customHeight="1">
      <c r="A51" s="169"/>
      <c r="B51" s="180"/>
      <c r="C51" s="180"/>
      <c r="D51" s="180"/>
      <c r="E51" s="180"/>
      <c r="F51" s="181"/>
      <c r="G51" s="181"/>
    </row>
    <row r="52" s="67" customFormat="1" ht="6.75" customHeight="1"/>
    <row r="53" spans="1:6" s="67" customFormat="1" ht="15">
      <c r="A53" s="67" t="s">
        <v>55</v>
      </c>
      <c r="C53" s="67" t="s">
        <v>49</v>
      </c>
      <c r="F53" s="67" t="s">
        <v>90</v>
      </c>
    </row>
    <row r="54" s="67" customFormat="1" ht="9" customHeight="1"/>
    <row r="55" s="67" customFormat="1" ht="13.5" customHeight="1">
      <c r="F55" s="127" t="s">
        <v>438</v>
      </c>
    </row>
    <row r="56" s="67" customFormat="1" ht="13.5" customHeight="1">
      <c r="A56" s="67" t="s">
        <v>50</v>
      </c>
    </row>
    <row r="57" spans="3:7" s="67" customFormat="1" ht="15">
      <c r="C57" s="129" t="s">
        <v>51</v>
      </c>
      <c r="E57" s="129"/>
      <c r="F57" s="129"/>
      <c r="G57" s="129"/>
    </row>
    <row r="58" s="67" customFormat="1" ht="15"/>
    <row r="59" s="67" customFormat="1" ht="15"/>
  </sheetData>
  <sheetProtection/>
  <mergeCells count="19">
    <mergeCell ref="A40:I40"/>
    <mergeCell ref="A11:I11"/>
    <mergeCell ref="A34:C34"/>
    <mergeCell ref="A1:I1"/>
    <mergeCell ref="A2:I2"/>
    <mergeCell ref="A5:I5"/>
    <mergeCell ref="A10:I10"/>
    <mergeCell ref="A3:K3"/>
    <mergeCell ref="A12:I12"/>
    <mergeCell ref="F42:G42"/>
    <mergeCell ref="A33:F33"/>
    <mergeCell ref="F49:G49"/>
    <mergeCell ref="F43:G43"/>
    <mergeCell ref="B43:C43"/>
    <mergeCell ref="F45:G45"/>
    <mergeCell ref="F46:G46"/>
    <mergeCell ref="F48:G48"/>
    <mergeCell ref="F47:G47"/>
    <mergeCell ref="F44:G4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zoomScalePageLayoutView="0" workbookViewId="0" topLeftCell="A43">
      <selection activeCell="F49" sqref="F49:G49"/>
    </sheetView>
  </sheetViews>
  <sheetFormatPr defaultColWidth="9.140625" defaultRowHeight="15" outlineLevelCol="1"/>
  <cols>
    <col min="1" max="1" width="5.00390625" style="35" customWidth="1"/>
    <col min="2" max="2" width="41.7109375" style="35" customWidth="1"/>
    <col min="3" max="3" width="12.851562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15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6" s="67" customFormat="1" ht="15">
      <c r="A7" s="67" t="s">
        <v>2</v>
      </c>
      <c r="F7" s="127" t="s">
        <v>131</v>
      </c>
    </row>
    <row r="8" spans="1:11" s="67" customFormat="1" ht="15">
      <c r="A8" s="67" t="s">
        <v>3</v>
      </c>
      <c r="F8" s="295" t="s">
        <v>477</v>
      </c>
      <c r="I8" s="202">
        <f>64.6+63.9</f>
        <v>128.5</v>
      </c>
      <c r="J8" s="202">
        <v>3899.4</v>
      </c>
      <c r="K8" s="202">
        <f>I8+J8+I9</f>
        <v>4079.7000000000003</v>
      </c>
    </row>
    <row r="9" s="67" customFormat="1" ht="15">
      <c r="I9" s="202">
        <v>51.8</v>
      </c>
    </row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10.5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65">
        <f>'[1]Пролетарская 135'!$G$36</f>
        <v>-105022.04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65">
        <f>'[1]Пролетарская 135'!$G$37</f>
        <v>-176819.92650000003</v>
      </c>
      <c r="H15" s="62"/>
      <c r="I15" s="62"/>
    </row>
    <row r="16" s="67" customFormat="1" ht="8.25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9" s="67" customFormat="1" ht="29.25">
      <c r="A18" s="75" t="s">
        <v>14</v>
      </c>
      <c r="B18" s="41" t="s">
        <v>15</v>
      </c>
      <c r="C18" s="217">
        <f>C19+C20+C21+C22</f>
        <v>10.34</v>
      </c>
      <c r="D18" s="76">
        <v>526563.85</v>
      </c>
      <c r="E18" s="76">
        <v>495309.4</v>
      </c>
      <c r="F18" s="76">
        <f aca="true" t="shared" si="0" ref="F18:F25">D18</f>
        <v>526563.85</v>
      </c>
      <c r="G18" s="77">
        <f>D18-E18</f>
        <v>31254.449999999953</v>
      </c>
      <c r="H18" s="78">
        <f>C18</f>
        <v>10.34</v>
      </c>
      <c r="I18" s="168"/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176200.28249516443</v>
      </c>
      <c r="E19" s="83">
        <f>E18*I19</f>
        <v>165741.83017408126</v>
      </c>
      <c r="F19" s="83">
        <f t="shared" si="0"/>
        <v>176200.28249516443</v>
      </c>
      <c r="G19" s="84">
        <f>D19-E19</f>
        <v>10458.452321083168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86063.14376208896</v>
      </c>
      <c r="E20" s="83">
        <f>E18*I20</f>
        <v>80954.8245647969</v>
      </c>
      <c r="F20" s="83">
        <f t="shared" si="0"/>
        <v>86063.14376208896</v>
      </c>
      <c r="G20" s="84">
        <f>D20-E20</f>
        <v>5108.319197292061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109488.61484526112</v>
      </c>
      <c r="E21" s="83">
        <f>E18*I21</f>
        <v>102989.86557059962</v>
      </c>
      <c r="F21" s="83">
        <f t="shared" si="0"/>
        <v>109488.61484526112</v>
      </c>
      <c r="G21" s="84">
        <f>D21-E21</f>
        <v>6498.749274661503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154811.8088974855</v>
      </c>
      <c r="E22" s="83">
        <f>E18*I22</f>
        <v>145622.87969052227</v>
      </c>
      <c r="F22" s="83">
        <f t="shared" si="0"/>
        <v>154811.8088974855</v>
      </c>
      <c r="G22" s="84">
        <f>D22-E22</f>
        <v>9188.929206963221</v>
      </c>
      <c r="H22" s="78">
        <f>C22</f>
        <v>3.04</v>
      </c>
      <c r="I22" s="67">
        <f>H22/H18</f>
        <v>0.2940038684719536</v>
      </c>
    </row>
    <row r="23" spans="1:9" ht="15">
      <c r="A23" s="41" t="s">
        <v>25</v>
      </c>
      <c r="B23" s="41" t="s">
        <v>26</v>
      </c>
      <c r="C23" s="142">
        <v>3.86</v>
      </c>
      <c r="D23" s="77">
        <v>180381.64</v>
      </c>
      <c r="E23" s="77">
        <v>176183.29</v>
      </c>
      <c r="F23" s="76">
        <f t="shared" si="0"/>
        <v>180381.64</v>
      </c>
      <c r="G23" s="77">
        <f aca="true" t="shared" si="1" ref="G23:G32">D23-E23</f>
        <v>4198.350000000006</v>
      </c>
      <c r="H23" s="39"/>
      <c r="I23" s="39"/>
    </row>
    <row r="24" spans="1:9" ht="15">
      <c r="A24" s="41" t="s">
        <v>27</v>
      </c>
      <c r="B24" s="41" t="s">
        <v>279</v>
      </c>
      <c r="C24" s="142">
        <v>0</v>
      </c>
      <c r="D24" s="77">
        <v>0</v>
      </c>
      <c r="E24" s="77">
        <v>4870.72</v>
      </c>
      <c r="F24" s="77">
        <f t="shared" si="0"/>
        <v>0</v>
      </c>
      <c r="G24" s="77">
        <f t="shared" si="1"/>
        <v>-4870.72</v>
      </c>
      <c r="H24" s="39"/>
      <c r="I24" s="39"/>
    </row>
    <row r="25" spans="1:9" ht="15">
      <c r="A25" s="41" t="s">
        <v>29</v>
      </c>
      <c r="B25" s="41" t="s">
        <v>172</v>
      </c>
      <c r="C25" s="142">
        <v>1.12</v>
      </c>
      <c r="D25" s="77">
        <v>13102.29</v>
      </c>
      <c r="E25" s="77">
        <v>13278.92</v>
      </c>
      <c r="F25" s="77">
        <f t="shared" si="0"/>
        <v>13102.29</v>
      </c>
      <c r="G25" s="77">
        <f t="shared" si="1"/>
        <v>-176.6299999999992</v>
      </c>
      <c r="H25" s="39"/>
      <c r="I25" s="39"/>
    </row>
    <row r="26" spans="1:13" ht="15">
      <c r="A26" s="41" t="s">
        <v>31</v>
      </c>
      <c r="B26" s="41" t="s">
        <v>116</v>
      </c>
      <c r="C26" s="142">
        <v>2.06</v>
      </c>
      <c r="D26" s="77">
        <v>98836.37</v>
      </c>
      <c r="E26" s="77">
        <v>95588.34</v>
      </c>
      <c r="F26" s="87">
        <f>F44</f>
        <v>32999.8834</v>
      </c>
      <c r="G26" s="77">
        <f t="shared" si="1"/>
        <v>3248.029999999999</v>
      </c>
      <c r="H26" s="39"/>
      <c r="I26" s="39"/>
      <c r="M26" s="160"/>
    </row>
    <row r="27" spans="1:9" ht="15">
      <c r="A27" s="214">
        <v>6</v>
      </c>
      <c r="B27" s="86" t="s">
        <v>163</v>
      </c>
      <c r="C27" s="143" t="s">
        <v>334</v>
      </c>
      <c r="D27" s="77">
        <v>0</v>
      </c>
      <c r="E27" s="77">
        <v>0</v>
      </c>
      <c r="F27" s="87">
        <f>D27</f>
        <v>0</v>
      </c>
      <c r="G27" s="77">
        <f t="shared" si="1"/>
        <v>0</v>
      </c>
      <c r="H27" s="39"/>
      <c r="I27" s="39"/>
    </row>
    <row r="28" spans="1:9" ht="15">
      <c r="A28" s="214">
        <f>A27+1</f>
        <v>7</v>
      </c>
      <c r="B28" s="41" t="s">
        <v>36</v>
      </c>
      <c r="C28" s="143"/>
      <c r="D28" s="77">
        <f>SUM(D29:D32)</f>
        <v>2138180.69</v>
      </c>
      <c r="E28" s="77">
        <f>SUM(E29:E32)</f>
        <v>2042679.8499999999</v>
      </c>
      <c r="F28" s="77">
        <f>SUM(F29:F32)</f>
        <v>2138180.69</v>
      </c>
      <c r="G28" s="77">
        <f t="shared" si="1"/>
        <v>95500.84000000008</v>
      </c>
      <c r="H28" s="39"/>
      <c r="I28" s="39"/>
    </row>
    <row r="29" spans="1:7" ht="15">
      <c r="A29" s="215" t="s">
        <v>37</v>
      </c>
      <c r="B29" s="34" t="s">
        <v>93</v>
      </c>
      <c r="C29" s="289" t="s">
        <v>406</v>
      </c>
      <c r="D29" s="84">
        <v>89412.13</v>
      </c>
      <c r="E29" s="84">
        <v>93420.01</v>
      </c>
      <c r="F29" s="84">
        <f>D29</f>
        <v>89412.13</v>
      </c>
      <c r="G29" s="84">
        <f t="shared" si="1"/>
        <v>-4007.87999999999</v>
      </c>
    </row>
    <row r="30" spans="1:7" ht="15">
      <c r="A30" s="215" t="s">
        <v>39</v>
      </c>
      <c r="B30" s="34" t="s">
        <v>138</v>
      </c>
      <c r="C30" s="289" t="s">
        <v>409</v>
      </c>
      <c r="D30" s="84">
        <v>309022.76</v>
      </c>
      <c r="E30" s="84">
        <v>294814.98</v>
      </c>
      <c r="F30" s="84">
        <f>D30</f>
        <v>309022.76</v>
      </c>
      <c r="G30" s="84">
        <f t="shared" si="1"/>
        <v>14207.780000000028</v>
      </c>
    </row>
    <row r="31" spans="1:7" ht="15">
      <c r="A31" s="215" t="s">
        <v>42</v>
      </c>
      <c r="B31" s="34" t="s">
        <v>421</v>
      </c>
      <c r="C31" s="290" t="s">
        <v>408</v>
      </c>
      <c r="D31" s="84">
        <v>467055.22</v>
      </c>
      <c r="E31" s="84">
        <v>425797.98</v>
      </c>
      <c r="F31" s="84">
        <f>D31</f>
        <v>467055.22</v>
      </c>
      <c r="G31" s="84">
        <f t="shared" si="1"/>
        <v>41257.23999999999</v>
      </c>
    </row>
    <row r="32" spans="1:7" ht="15">
      <c r="A32" s="215" t="s">
        <v>41</v>
      </c>
      <c r="B32" s="34" t="s">
        <v>43</v>
      </c>
      <c r="C32" s="289" t="s">
        <v>407</v>
      </c>
      <c r="D32" s="84">
        <v>1272690.58</v>
      </c>
      <c r="E32" s="84">
        <v>1228646.88</v>
      </c>
      <c r="F32" s="84">
        <f>D32</f>
        <v>1272690.58</v>
      </c>
      <c r="G32" s="84">
        <f t="shared" si="1"/>
        <v>44043.700000000186</v>
      </c>
    </row>
    <row r="33" spans="1:7" ht="15.75" thickBot="1">
      <c r="A33" s="379" t="s">
        <v>328</v>
      </c>
      <c r="B33" s="380"/>
      <c r="C33" s="380"/>
      <c r="D33" s="381"/>
      <c r="E33" s="381"/>
      <c r="F33" s="381"/>
      <c r="G33" s="171"/>
    </row>
    <row r="34" spans="1:10" s="102" customFormat="1" ht="14.25" thickBot="1">
      <c r="A34" s="391" t="s">
        <v>410</v>
      </c>
      <c r="B34" s="392"/>
      <c r="C34" s="392"/>
      <c r="D34" s="65">
        <v>1610050.12</v>
      </c>
      <c r="E34" s="66"/>
      <c r="F34" s="66"/>
      <c r="G34" s="66"/>
      <c r="H34" s="62"/>
      <c r="I34" s="62"/>
      <c r="J34" s="101"/>
    </row>
    <row r="35" spans="1:9" s="67" customFormat="1" ht="10.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</f>
        <v>-105022.04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-114231.46990000003</v>
      </c>
      <c r="H37" s="62"/>
      <c r="I37" s="62"/>
    </row>
    <row r="38" spans="1:9" s="67" customFormat="1" ht="15">
      <c r="A38" s="490" t="s">
        <v>373</v>
      </c>
      <c r="B38" s="491"/>
      <c r="C38" s="324"/>
      <c r="D38" s="324"/>
      <c r="E38" s="325"/>
      <c r="F38" s="325"/>
      <c r="G38" s="325"/>
      <c r="H38" s="62"/>
      <c r="I38" s="62"/>
    </row>
    <row r="39" spans="1:9" s="67" customFormat="1" ht="15">
      <c r="A39" s="519" t="s">
        <v>146</v>
      </c>
      <c r="B39" s="520"/>
      <c r="C39" s="316" t="s">
        <v>147</v>
      </c>
      <c r="D39" s="316" t="s">
        <v>148</v>
      </c>
      <c r="E39" s="317" t="s">
        <v>149</v>
      </c>
      <c r="F39" s="318" t="s">
        <v>150</v>
      </c>
      <c r="G39" s="317" t="s">
        <v>151</v>
      </c>
      <c r="H39" s="62"/>
      <c r="I39" s="62"/>
    </row>
    <row r="40" spans="1:9" s="67" customFormat="1" ht="15">
      <c r="A40" s="521"/>
      <c r="B40" s="522"/>
      <c r="C40" s="298">
        <v>51.8</v>
      </c>
      <c r="D40" s="319">
        <f>E40/C40/12</f>
        <v>20.228201415701417</v>
      </c>
      <c r="E40" s="321">
        <v>12573.85</v>
      </c>
      <c r="F40" s="321">
        <v>11325.83</v>
      </c>
      <c r="G40" s="319">
        <f>E40-F40</f>
        <v>1248.0200000000004</v>
      </c>
      <c r="H40" s="62"/>
      <c r="I40" s="302">
        <v>51.8</v>
      </c>
    </row>
    <row r="41" spans="1:9" s="67" customFormat="1" ht="30" customHeight="1">
      <c r="A41" s="463" t="s">
        <v>44</v>
      </c>
      <c r="B41" s="463"/>
      <c r="C41" s="463"/>
      <c r="D41" s="463"/>
      <c r="E41" s="463"/>
      <c r="F41" s="463"/>
      <c r="G41" s="463"/>
      <c r="H41" s="463"/>
      <c r="I41" s="463"/>
    </row>
    <row r="42" ht="10.5" customHeight="1"/>
    <row r="43" spans="1:9" ht="28.5">
      <c r="A43" s="105" t="s">
        <v>11</v>
      </c>
      <c r="B43" s="401" t="s">
        <v>45</v>
      </c>
      <c r="C43" s="420"/>
      <c r="D43" s="105" t="s">
        <v>165</v>
      </c>
      <c r="E43" s="105" t="s">
        <v>164</v>
      </c>
      <c r="F43" s="401" t="s">
        <v>46</v>
      </c>
      <c r="G43" s="420"/>
      <c r="H43" s="172"/>
      <c r="I43" s="172"/>
    </row>
    <row r="44" spans="1:9" s="172" customFormat="1" ht="15">
      <c r="A44" s="109" t="s">
        <v>47</v>
      </c>
      <c r="B44" s="403" t="s">
        <v>111</v>
      </c>
      <c r="C44" s="425"/>
      <c r="D44" s="111"/>
      <c r="E44" s="111"/>
      <c r="F44" s="430">
        <f>SUM(F45:L50)</f>
        <v>32999.8834</v>
      </c>
      <c r="G44" s="419"/>
      <c r="H44" s="115"/>
      <c r="I44" s="115"/>
    </row>
    <row r="45" spans="1:9" s="115" customFormat="1" ht="15" customHeight="1">
      <c r="A45" s="34" t="s">
        <v>16</v>
      </c>
      <c r="B45" s="413" t="s">
        <v>564</v>
      </c>
      <c r="C45" s="423"/>
      <c r="D45" s="349" t="s">
        <v>168</v>
      </c>
      <c r="E45" s="349"/>
      <c r="F45" s="451">
        <v>10000</v>
      </c>
      <c r="G45" s="452"/>
      <c r="H45" s="35"/>
      <c r="I45" s="35"/>
    </row>
    <row r="46" spans="1:7" ht="15" customHeight="1">
      <c r="A46" s="34" t="s">
        <v>18</v>
      </c>
      <c r="B46" s="413" t="s">
        <v>162</v>
      </c>
      <c r="C46" s="423"/>
      <c r="D46" s="349" t="s">
        <v>169</v>
      </c>
      <c r="E46" s="349">
        <v>600</v>
      </c>
      <c r="F46" s="431">
        <v>6444</v>
      </c>
      <c r="G46" s="431"/>
    </row>
    <row r="47" spans="1:7" ht="15" customHeight="1">
      <c r="A47" s="34" t="s">
        <v>20</v>
      </c>
      <c r="B47" s="382" t="s">
        <v>172</v>
      </c>
      <c r="C47" s="384"/>
      <c r="D47" s="119"/>
      <c r="E47" s="119"/>
      <c r="F47" s="429">
        <v>10000</v>
      </c>
      <c r="G47" s="429"/>
    </row>
    <row r="48" spans="1:7" ht="15" customHeight="1">
      <c r="A48" s="34" t="s">
        <v>22</v>
      </c>
      <c r="B48" s="382" t="s">
        <v>732</v>
      </c>
      <c r="C48" s="384"/>
      <c r="D48" s="119"/>
      <c r="E48" s="122"/>
      <c r="F48" s="429">
        <v>5600</v>
      </c>
      <c r="G48" s="429"/>
    </row>
    <row r="49" spans="1:7" ht="13.5" customHeight="1">
      <c r="A49" s="34" t="s">
        <v>24</v>
      </c>
      <c r="B49" s="382"/>
      <c r="C49" s="432"/>
      <c r="D49" s="119"/>
      <c r="E49" s="153"/>
      <c r="F49" s="424"/>
      <c r="G49" s="424"/>
    </row>
    <row r="50" spans="1:7" s="67" customFormat="1" ht="15">
      <c r="A50" s="34" t="s">
        <v>103</v>
      </c>
      <c r="B50" s="149" t="s">
        <v>191</v>
      </c>
      <c r="C50" s="150"/>
      <c r="D50" s="119"/>
      <c r="E50" s="119"/>
      <c r="F50" s="429">
        <f>E26*1%</f>
        <v>955.8833999999999</v>
      </c>
      <c r="G50" s="429"/>
    </row>
    <row r="51" spans="8:9" s="67" customFormat="1" ht="15">
      <c r="H51" s="35"/>
      <c r="I51" s="35"/>
    </row>
    <row r="52" spans="1:9" s="67" customFormat="1" ht="15">
      <c r="A52" s="67" t="s">
        <v>55</v>
      </c>
      <c r="C52" s="67" t="s">
        <v>49</v>
      </c>
      <c r="F52" s="67" t="s">
        <v>90</v>
      </c>
      <c r="H52" s="35"/>
      <c r="I52" s="35"/>
    </row>
    <row r="53" spans="6:9" s="67" customFormat="1" ht="15">
      <c r="F53" s="127" t="s">
        <v>438</v>
      </c>
      <c r="H53" s="35"/>
      <c r="I53" s="35"/>
    </row>
    <row r="54" spans="1:7" ht="15">
      <c r="A54" s="67" t="s">
        <v>50</v>
      </c>
      <c r="B54" s="67"/>
      <c r="C54" s="67"/>
      <c r="D54" s="67"/>
      <c r="E54" s="67"/>
      <c r="F54" s="67"/>
      <c r="G54" s="67"/>
    </row>
    <row r="55" spans="1:7" ht="15">
      <c r="A55" s="67"/>
      <c r="B55" s="67"/>
      <c r="C55" s="129" t="s">
        <v>51</v>
      </c>
      <c r="D55" s="67"/>
      <c r="E55" s="129"/>
      <c r="F55" s="129"/>
      <c r="G55" s="129"/>
    </row>
    <row r="56" spans="1:9" ht="15">
      <c r="A56" s="67"/>
      <c r="B56" s="67"/>
      <c r="C56" s="67"/>
      <c r="D56" s="67"/>
      <c r="E56" s="67"/>
      <c r="F56" s="67"/>
      <c r="G56" s="67"/>
      <c r="H56" s="67"/>
      <c r="I56" s="67"/>
    </row>
  </sheetData>
  <sheetProtection/>
  <mergeCells count="27">
    <mergeCell ref="A1:I1"/>
    <mergeCell ref="A2:I2"/>
    <mergeCell ref="A3:K3"/>
    <mergeCell ref="A5:I5"/>
    <mergeCell ref="A10:I10"/>
    <mergeCell ref="A33:F33"/>
    <mergeCell ref="A11:I11"/>
    <mergeCell ref="A38:B38"/>
    <mergeCell ref="A39:B40"/>
    <mergeCell ref="A12:I12"/>
    <mergeCell ref="B45:C45"/>
    <mergeCell ref="F45:G45"/>
    <mergeCell ref="B44:C44"/>
    <mergeCell ref="A34:C34"/>
    <mergeCell ref="A41:I41"/>
    <mergeCell ref="B43:C43"/>
    <mergeCell ref="F43:G43"/>
    <mergeCell ref="B49:C49"/>
    <mergeCell ref="F49:G49"/>
    <mergeCell ref="F47:G47"/>
    <mergeCell ref="B48:C48"/>
    <mergeCell ref="B46:C46"/>
    <mergeCell ref="F48:G48"/>
    <mergeCell ref="F50:G50"/>
    <mergeCell ref="F46:G46"/>
    <mergeCell ref="F44:G44"/>
    <mergeCell ref="B47:C4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</sheetPr>
  <dimension ref="A1:S70"/>
  <sheetViews>
    <sheetView zoomScalePageLayoutView="0" workbookViewId="0" topLeftCell="A53">
      <selection activeCell="B57" sqref="B57:C57"/>
    </sheetView>
  </sheetViews>
  <sheetFormatPr defaultColWidth="9.140625" defaultRowHeight="15" outlineLevelCol="3"/>
  <cols>
    <col min="1" max="1" width="5.00390625" style="35" customWidth="1"/>
    <col min="2" max="2" width="46.140625" style="35" customWidth="1"/>
    <col min="3" max="3" width="13.421875" style="35" customWidth="1"/>
    <col min="4" max="4" width="15.140625" style="35" customWidth="1"/>
    <col min="5" max="5" width="14.57421875" style="35" customWidth="1"/>
    <col min="6" max="6" width="15.00390625" style="35" customWidth="1"/>
    <col min="7" max="7" width="13.421875" style="35" customWidth="1"/>
    <col min="8" max="8" width="13.421875" style="35" hidden="1" customWidth="1" outlineLevel="1"/>
    <col min="9" max="9" width="13.421875" style="35" hidden="1" customWidth="1" outlineLevel="2"/>
    <col min="10" max="10" width="10.8515625" style="35" hidden="1" customWidth="1" outlineLevel="3"/>
    <col min="11" max="11" width="13.421875" style="35" hidden="1" customWidth="1" outlineLevel="2"/>
    <col min="12" max="12" width="14.28125" style="35" bestFit="1" customWidth="1" collapsed="1"/>
    <col min="13" max="13" width="12.00390625" style="35" customWidth="1"/>
    <col min="14" max="14" width="10.140625" style="35" bestFit="1" customWidth="1"/>
    <col min="15" max="15" width="11.421875" style="35" bestFit="1" customWidth="1"/>
    <col min="16" max="17" width="11.57421875" style="35" bestFit="1" customWidth="1"/>
    <col min="18" max="18" width="10.421875" style="35" bestFit="1" customWidth="1"/>
    <col min="19" max="19" width="11.421875" style="35" bestFit="1" customWidth="1"/>
    <col min="20" max="16384" width="9.140625" style="35" customWidth="1"/>
  </cols>
  <sheetData>
    <row r="1" spans="1:11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1" ht="15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1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5">
      <c r="A5" s="406" t="s">
        <v>1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7" spans="1:10" s="67" customFormat="1" ht="15">
      <c r="A7" s="67" t="s">
        <v>2</v>
      </c>
      <c r="F7" s="127" t="s">
        <v>134</v>
      </c>
      <c r="J7" s="67" t="s">
        <v>305</v>
      </c>
    </row>
    <row r="8" spans="1:11" s="67" customFormat="1" ht="15">
      <c r="A8" s="67" t="s">
        <v>3</v>
      </c>
      <c r="F8" s="295" t="s">
        <v>422</v>
      </c>
      <c r="H8" s="67">
        <v>967.3</v>
      </c>
      <c r="I8" s="202">
        <f>7246.9-0.9</f>
        <v>7246</v>
      </c>
      <c r="J8" s="202">
        <f>110.9+125.4+251.9</f>
        <v>488.20000000000005</v>
      </c>
      <c r="K8" s="202">
        <f>I8+J8+H8</f>
        <v>8701.5</v>
      </c>
    </row>
    <row r="9" s="67" customFormat="1" ht="15"/>
    <row r="10" spans="1:11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11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</row>
    <row r="13" spans="1:11" s="67" customFormat="1" ht="10.5" customHeight="1" thickBot="1">
      <c r="A13" s="68"/>
      <c r="B13" s="68"/>
      <c r="C13" s="68"/>
      <c r="D13" s="40"/>
      <c r="E13" s="66"/>
      <c r="F13" s="66"/>
      <c r="G13" s="66"/>
      <c r="H13" s="66"/>
      <c r="I13" s="66"/>
      <c r="J13" s="62"/>
      <c r="K13" s="62"/>
    </row>
    <row r="14" spans="1:11" s="67" customFormat="1" ht="15.75" thickBot="1">
      <c r="A14" s="63" t="s">
        <v>331</v>
      </c>
      <c r="B14" s="64"/>
      <c r="C14" s="64"/>
      <c r="D14" s="69"/>
      <c r="E14" s="70"/>
      <c r="F14" s="70"/>
      <c r="G14" s="65">
        <f>'[1]Молодежная 41'!$G$38</f>
        <v>988459.8288999998</v>
      </c>
      <c r="H14" s="220"/>
      <c r="I14" s="220"/>
      <c r="J14" s="62"/>
      <c r="K14" s="62"/>
    </row>
    <row r="15" s="67" customFormat="1" ht="15"/>
    <row r="16" spans="1:9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  <c r="H16" s="108"/>
      <c r="I16" s="108"/>
    </row>
    <row r="17" spans="1:10" s="168" customFormat="1" ht="28.5">
      <c r="A17" s="75" t="s">
        <v>14</v>
      </c>
      <c r="B17" s="41" t="s">
        <v>15</v>
      </c>
      <c r="C17" s="97">
        <f>SUM(C18:C21)</f>
        <v>10.18</v>
      </c>
      <c r="D17" s="76">
        <v>955004.46</v>
      </c>
      <c r="E17" s="76">
        <v>1023469.02</v>
      </c>
      <c r="F17" s="76">
        <f>D17</f>
        <v>955004.46</v>
      </c>
      <c r="G17" s="77">
        <f>D17-E17</f>
        <v>-68464.56000000006</v>
      </c>
      <c r="H17" s="221"/>
      <c r="I17" s="221"/>
      <c r="J17" s="78">
        <f>C17</f>
        <v>10.18</v>
      </c>
    </row>
    <row r="18" spans="1:11" s="67" customFormat="1" ht="15">
      <c r="A18" s="81" t="s">
        <v>16</v>
      </c>
      <c r="B18" s="34" t="s">
        <v>17</v>
      </c>
      <c r="C18" s="99">
        <v>3.46</v>
      </c>
      <c r="D18" s="83">
        <f>D17*K18</f>
        <v>324588.94220039295</v>
      </c>
      <c r="E18" s="83">
        <f>E17*K18</f>
        <v>347858.8221218075</v>
      </c>
      <c r="F18" s="83">
        <f aca="true" t="shared" si="0" ref="F18:F23">D18</f>
        <v>324588.94220039295</v>
      </c>
      <c r="G18" s="84">
        <f>D18-E18</f>
        <v>-23269.87992141454</v>
      </c>
      <c r="H18" s="171"/>
      <c r="I18" s="171"/>
      <c r="J18" s="78">
        <f>C18</f>
        <v>3.46</v>
      </c>
      <c r="K18" s="67">
        <f>J18/J17</f>
        <v>0.33988212180746563</v>
      </c>
    </row>
    <row r="19" spans="1:11" s="67" customFormat="1" ht="15">
      <c r="A19" s="81" t="s">
        <v>18</v>
      </c>
      <c r="B19" s="34" t="s">
        <v>19</v>
      </c>
      <c r="C19" s="99">
        <v>1.69</v>
      </c>
      <c r="D19" s="83">
        <f>D17*K19</f>
        <v>158541.9977799607</v>
      </c>
      <c r="E19" s="83">
        <f>E17*K19</f>
        <v>169907.92178781924</v>
      </c>
      <c r="F19" s="83">
        <f t="shared" si="0"/>
        <v>158541.9977799607</v>
      </c>
      <c r="G19" s="84">
        <f>D19-E19</f>
        <v>-11365.924007858557</v>
      </c>
      <c r="H19" s="171"/>
      <c r="I19" s="171"/>
      <c r="J19" s="78">
        <f>C19</f>
        <v>1.69</v>
      </c>
      <c r="K19" s="67">
        <f>J19/J17</f>
        <v>0.16601178781925344</v>
      </c>
    </row>
    <row r="20" spans="1:11" s="67" customFormat="1" ht="15">
      <c r="A20" s="81" t="s">
        <v>20</v>
      </c>
      <c r="B20" s="34" t="s">
        <v>21</v>
      </c>
      <c r="C20" s="99">
        <v>1.99</v>
      </c>
      <c r="D20" s="83">
        <f>D17*K20</f>
        <v>186685.54768172887</v>
      </c>
      <c r="E20" s="83">
        <f>E17*K20</f>
        <v>200069.09133595286</v>
      </c>
      <c r="F20" s="83">
        <f t="shared" si="0"/>
        <v>186685.54768172887</v>
      </c>
      <c r="G20" s="84">
        <f>D20-E20</f>
        <v>-13383.543654223991</v>
      </c>
      <c r="H20" s="171"/>
      <c r="I20" s="171"/>
      <c r="J20" s="78">
        <f>C20</f>
        <v>1.99</v>
      </c>
      <c r="K20" s="67">
        <f>J20/J17</f>
        <v>0.19548133595284872</v>
      </c>
    </row>
    <row r="21" spans="1:11" s="67" customFormat="1" ht="15">
      <c r="A21" s="81" t="s">
        <v>22</v>
      </c>
      <c r="B21" s="34" t="s">
        <v>23</v>
      </c>
      <c r="C21" s="99">
        <v>3.04</v>
      </c>
      <c r="D21" s="83">
        <f>D17*K21</f>
        <v>285187.9723379175</v>
      </c>
      <c r="E21" s="83">
        <f>E17*K21</f>
        <v>305633.1847544205</v>
      </c>
      <c r="F21" s="83">
        <f t="shared" si="0"/>
        <v>285187.9723379175</v>
      </c>
      <c r="G21" s="84">
        <f>D21-E21</f>
        <v>-20445.212416502996</v>
      </c>
      <c r="H21" s="171"/>
      <c r="I21" s="171"/>
      <c r="J21" s="78">
        <f>C21</f>
        <v>3.04</v>
      </c>
      <c r="K21" s="67">
        <f>J21/J17</f>
        <v>0.29862475442043224</v>
      </c>
    </row>
    <row r="22" spans="1:12" s="39" customFormat="1" ht="14.25">
      <c r="A22" s="41" t="s">
        <v>25</v>
      </c>
      <c r="B22" s="41" t="s">
        <v>26</v>
      </c>
      <c r="C22" s="97">
        <v>3.86</v>
      </c>
      <c r="D22" s="77">
        <v>340771.44</v>
      </c>
      <c r="E22" s="77">
        <v>338934.91</v>
      </c>
      <c r="F22" s="76">
        <f t="shared" si="0"/>
        <v>340771.44</v>
      </c>
      <c r="G22" s="77">
        <f aca="true" t="shared" si="1" ref="G22:G34">D22-E22</f>
        <v>1836.530000000028</v>
      </c>
      <c r="H22" s="221"/>
      <c r="I22" s="221"/>
      <c r="L22" s="182"/>
    </row>
    <row r="23" spans="1:9" s="39" customFormat="1" ht="14.25">
      <c r="A23" s="41" t="s">
        <v>27</v>
      </c>
      <c r="B23" s="41" t="s">
        <v>28</v>
      </c>
      <c r="C23" s="97">
        <v>0</v>
      </c>
      <c r="D23" s="77">
        <v>0</v>
      </c>
      <c r="E23" s="77">
        <v>5092.75</v>
      </c>
      <c r="F23" s="77">
        <f t="shared" si="0"/>
        <v>0</v>
      </c>
      <c r="G23" s="77">
        <f t="shared" si="1"/>
        <v>-5092.75</v>
      </c>
      <c r="H23" s="221"/>
      <c r="I23" s="221"/>
    </row>
    <row r="24" spans="1:9" s="39" customFormat="1" ht="28.5">
      <c r="A24" s="41" t="s">
        <v>29</v>
      </c>
      <c r="B24" s="41" t="s">
        <v>233</v>
      </c>
      <c r="C24" s="46">
        <v>170</v>
      </c>
      <c r="D24" s="77">
        <v>211600</v>
      </c>
      <c r="E24" s="77">
        <v>214676.36</v>
      </c>
      <c r="F24" s="77">
        <f>D24</f>
        <v>211600</v>
      </c>
      <c r="G24" s="77">
        <f t="shared" si="1"/>
        <v>-3076.359999999986</v>
      </c>
      <c r="H24" s="221"/>
      <c r="I24" s="221"/>
    </row>
    <row r="25" spans="1:12" s="39" customFormat="1" ht="14.25">
      <c r="A25" s="41" t="s">
        <v>31</v>
      </c>
      <c r="B25" s="41" t="s">
        <v>116</v>
      </c>
      <c r="C25" s="97">
        <v>2.06</v>
      </c>
      <c r="D25" s="77">
        <v>190411.93</v>
      </c>
      <c r="E25" s="77">
        <v>220366.18</v>
      </c>
      <c r="F25" s="87">
        <f>F46</f>
        <v>1041652.6118</v>
      </c>
      <c r="G25" s="77">
        <f t="shared" si="1"/>
        <v>-29954.25</v>
      </c>
      <c r="H25" s="221"/>
      <c r="I25" s="221">
        <f>F25+F32</f>
        <v>1041652.6118</v>
      </c>
      <c r="L25" s="182"/>
    </row>
    <row r="26" spans="1:9" s="39" customFormat="1" ht="14.25">
      <c r="A26" s="41" t="s">
        <v>33</v>
      </c>
      <c r="B26" s="41" t="s">
        <v>163</v>
      </c>
      <c r="C26" s="46" t="s">
        <v>334</v>
      </c>
      <c r="D26" s="90">
        <v>0</v>
      </c>
      <c r="E26" s="90">
        <v>0</v>
      </c>
      <c r="F26" s="90">
        <v>0</v>
      </c>
      <c r="G26" s="77">
        <f t="shared" si="1"/>
        <v>0</v>
      </c>
      <c r="H26" s="221"/>
      <c r="I26" s="222"/>
    </row>
    <row r="27" spans="1:12" s="39" customFormat="1" ht="14.25">
      <c r="A27" s="41" t="s">
        <v>35</v>
      </c>
      <c r="B27" s="41" t="s">
        <v>36</v>
      </c>
      <c r="C27" s="46"/>
      <c r="D27" s="77">
        <f>D28+D29+D30+D31</f>
        <v>4664021.640000001</v>
      </c>
      <c r="E27" s="77">
        <f>E28+E29+E30+E31</f>
        <v>4661952.01</v>
      </c>
      <c r="F27" s="77">
        <f>F28+F29+F30+F31</f>
        <v>4664021.640000001</v>
      </c>
      <c r="G27" s="77">
        <f t="shared" si="1"/>
        <v>2069.6300000008196</v>
      </c>
      <c r="H27" s="221"/>
      <c r="I27" s="221"/>
      <c r="L27" s="182"/>
    </row>
    <row r="28" spans="1:19" ht="15">
      <c r="A28" s="34" t="s">
        <v>37</v>
      </c>
      <c r="B28" s="34" t="s">
        <v>270</v>
      </c>
      <c r="C28" s="297" t="s">
        <v>426</v>
      </c>
      <c r="D28" s="84">
        <v>1190279.69</v>
      </c>
      <c r="E28" s="84">
        <v>1185545.69</v>
      </c>
      <c r="F28" s="84">
        <f>D28</f>
        <v>1190279.69</v>
      </c>
      <c r="G28" s="84">
        <f>D28-E28</f>
        <v>4734</v>
      </c>
      <c r="H28" s="171"/>
      <c r="I28" s="171"/>
      <c r="R28" s="223"/>
      <c r="S28" s="223"/>
    </row>
    <row r="29" spans="1:14" ht="15">
      <c r="A29" s="34" t="s">
        <v>39</v>
      </c>
      <c r="B29" s="34" t="s">
        <v>138</v>
      </c>
      <c r="C29" s="289" t="s">
        <v>409</v>
      </c>
      <c r="D29" s="84">
        <v>479531.37</v>
      </c>
      <c r="E29" s="213">
        <v>498892.77</v>
      </c>
      <c r="F29" s="213">
        <f>D29</f>
        <v>479531.37</v>
      </c>
      <c r="G29" s="84">
        <f t="shared" si="1"/>
        <v>-19361.400000000023</v>
      </c>
      <c r="H29" s="171"/>
      <c r="I29" s="171"/>
      <c r="L29" s="160"/>
      <c r="M29" s="160"/>
      <c r="N29" s="160"/>
    </row>
    <row r="30" spans="1:14" ht="15">
      <c r="A30" s="34" t="s">
        <v>42</v>
      </c>
      <c r="B30" s="34" t="s">
        <v>423</v>
      </c>
      <c r="C30" s="290" t="s">
        <v>425</v>
      </c>
      <c r="D30" s="84">
        <v>673038.41</v>
      </c>
      <c r="E30" s="213">
        <v>687436.43</v>
      </c>
      <c r="F30" s="213">
        <f>D30</f>
        <v>673038.41</v>
      </c>
      <c r="G30" s="84">
        <f t="shared" si="1"/>
        <v>-14398.020000000019</v>
      </c>
      <c r="H30" s="171"/>
      <c r="I30" s="171"/>
      <c r="L30" s="160"/>
      <c r="M30" s="160"/>
      <c r="N30" s="160"/>
    </row>
    <row r="31" spans="1:12" ht="15">
      <c r="A31" s="34" t="s">
        <v>41</v>
      </c>
      <c r="B31" s="34" t="s">
        <v>43</v>
      </c>
      <c r="C31" s="289" t="s">
        <v>424</v>
      </c>
      <c r="D31" s="84">
        <v>2321172.17</v>
      </c>
      <c r="E31" s="84">
        <v>2290077.12</v>
      </c>
      <c r="F31" s="84">
        <f>D31</f>
        <v>2321172.17</v>
      </c>
      <c r="G31" s="84">
        <f t="shared" si="1"/>
        <v>31095.049999999814</v>
      </c>
      <c r="H31" s="171"/>
      <c r="I31" s="171"/>
      <c r="L31" s="160"/>
    </row>
    <row r="32" spans="1:11" s="102" customFormat="1" ht="15">
      <c r="A32" s="235" t="s">
        <v>204</v>
      </c>
      <c r="B32" s="333" t="s">
        <v>304</v>
      </c>
      <c r="C32" s="335"/>
      <c r="D32" s="336">
        <f>3000+2400+3600+3600</f>
        <v>12600</v>
      </c>
      <c r="E32" s="336">
        <v>10942</v>
      </c>
      <c r="F32" s="336">
        <v>0</v>
      </c>
      <c r="G32" s="315">
        <f t="shared" si="1"/>
        <v>1658</v>
      </c>
      <c r="H32" s="221"/>
      <c r="I32" s="171"/>
      <c r="J32" s="101"/>
      <c r="K32" s="101"/>
    </row>
    <row r="33" spans="1:11" s="102" customFormat="1" ht="26.25">
      <c r="A33" s="312" t="s">
        <v>306</v>
      </c>
      <c r="B33" s="312" t="s">
        <v>427</v>
      </c>
      <c r="C33" s="298">
        <v>2.06</v>
      </c>
      <c r="D33" s="313">
        <f>3985.28+3985.28+15941.12</f>
        <v>23911.68</v>
      </c>
      <c r="E33" s="313">
        <f>3985.28+3985.28+15941.12</f>
        <v>23911.68</v>
      </c>
      <c r="F33" s="313">
        <v>0</v>
      </c>
      <c r="G33" s="315">
        <f t="shared" si="1"/>
        <v>0</v>
      </c>
      <c r="H33" s="345"/>
      <c r="I33" s="171">
        <v>10451.27</v>
      </c>
      <c r="J33" s="330">
        <v>9787.98</v>
      </c>
      <c r="K33" s="330">
        <v>6316.99</v>
      </c>
    </row>
    <row r="34" spans="1:11" s="102" customFormat="1" ht="15">
      <c r="A34" s="287"/>
      <c r="B34" s="135"/>
      <c r="C34" s="288"/>
      <c r="D34" s="225"/>
      <c r="E34" s="81"/>
      <c r="F34" s="225">
        <v>0</v>
      </c>
      <c r="G34" s="84">
        <f t="shared" si="1"/>
        <v>0</v>
      </c>
      <c r="H34" s="171"/>
      <c r="I34" s="171"/>
      <c r="J34" s="101"/>
      <c r="K34" s="101"/>
    </row>
    <row r="35" spans="1:11" s="102" customFormat="1" ht="15.75" thickBot="1">
      <c r="A35" s="379" t="s">
        <v>328</v>
      </c>
      <c r="B35" s="380"/>
      <c r="C35" s="380"/>
      <c r="D35" s="381"/>
      <c r="E35" s="381"/>
      <c r="F35" s="381"/>
      <c r="G35" s="101"/>
      <c r="H35" s="101"/>
      <c r="I35" s="101"/>
      <c r="J35" s="101"/>
      <c r="K35" s="101"/>
    </row>
    <row r="36" spans="1:11" s="67" customFormat="1" ht="15.75" thickBot="1">
      <c r="A36" s="391" t="s">
        <v>410</v>
      </c>
      <c r="B36" s="392"/>
      <c r="C36" s="392"/>
      <c r="D36" s="65">
        <v>1133731.02</v>
      </c>
      <c r="E36" s="66"/>
      <c r="F36" s="66"/>
      <c r="G36" s="66"/>
      <c r="H36" s="66"/>
      <c r="I36" s="66"/>
      <c r="J36" s="62"/>
      <c r="K36" s="62"/>
    </row>
    <row r="37" spans="1:11" s="67" customFormat="1" ht="6.75" customHeight="1" thickBot="1">
      <c r="A37" s="68"/>
      <c r="B37" s="68"/>
      <c r="C37" s="68"/>
      <c r="D37" s="40"/>
      <c r="E37" s="66"/>
      <c r="F37" s="66"/>
      <c r="G37" s="66"/>
      <c r="H37" s="66"/>
      <c r="I37" s="66"/>
      <c r="J37" s="62"/>
      <c r="K37" s="62"/>
    </row>
    <row r="38" spans="1:12" s="67" customFormat="1" ht="15.75" thickBot="1">
      <c r="A38" s="63" t="s">
        <v>428</v>
      </c>
      <c r="B38" s="64"/>
      <c r="C38" s="64"/>
      <c r="D38" s="69"/>
      <c r="E38" s="70"/>
      <c r="F38" s="70"/>
      <c r="G38" s="145">
        <f>G14+E25-F25+E33-F33</f>
        <v>191085.07709999982</v>
      </c>
      <c r="H38" s="40"/>
      <c r="I38" s="40"/>
      <c r="J38" s="62"/>
      <c r="K38" s="62"/>
      <c r="L38" s="146">
        <f>G14+E25-F25+E33-F33</f>
        <v>191085.07709999982</v>
      </c>
    </row>
    <row r="39" spans="1:11" s="67" customFormat="1" ht="15">
      <c r="A39" s="523" t="s">
        <v>145</v>
      </c>
      <c r="B39" s="523"/>
      <c r="C39" s="68"/>
      <c r="D39" s="40"/>
      <c r="E39" s="66"/>
      <c r="F39" s="66"/>
      <c r="G39" s="40"/>
      <c r="H39" s="40"/>
      <c r="I39" s="40"/>
      <c r="J39" s="62"/>
      <c r="K39" s="62"/>
    </row>
    <row r="40" spans="1:11" s="67" customFormat="1" ht="15">
      <c r="A40" s="519" t="s">
        <v>439</v>
      </c>
      <c r="B40" s="520"/>
      <c r="C40" s="316" t="s">
        <v>147</v>
      </c>
      <c r="D40" s="316" t="s">
        <v>148</v>
      </c>
      <c r="E40" s="317" t="s">
        <v>149</v>
      </c>
      <c r="F40" s="318" t="s">
        <v>150</v>
      </c>
      <c r="G40" s="317" t="s">
        <v>151</v>
      </c>
      <c r="H40" s="328"/>
      <c r="I40" s="54"/>
      <c r="J40" s="62"/>
      <c r="K40" s="62"/>
    </row>
    <row r="41" spans="1:11" s="67" customFormat="1" ht="15">
      <c r="A41" s="521"/>
      <c r="B41" s="522"/>
      <c r="C41" s="298">
        <v>967.3</v>
      </c>
      <c r="D41" s="319">
        <f>E41/C41/12</f>
        <v>18.61743685171784</v>
      </c>
      <c r="E41" s="314">
        <f>107699.12+53794.41+54610.23</f>
        <v>216103.76</v>
      </c>
      <c r="F41" s="320">
        <f>36040.64+36040.64+144022.48</f>
        <v>216103.76</v>
      </c>
      <c r="G41" s="319">
        <f>E41-F41</f>
        <v>0</v>
      </c>
      <c r="H41" s="329"/>
      <c r="I41" s="226"/>
      <c r="J41" s="327">
        <f>967.3+251.9+125.4</f>
        <v>1344.6000000000001</v>
      </c>
      <c r="K41" s="198"/>
    </row>
    <row r="42" spans="1:11" s="67" customFormat="1" ht="15">
      <c r="A42" s="55"/>
      <c r="B42" s="55"/>
      <c r="C42" s="227"/>
      <c r="D42" s="228"/>
      <c r="E42" s="229"/>
      <c r="F42" s="229"/>
      <c r="G42" s="228"/>
      <c r="H42" s="226"/>
      <c r="I42" s="226"/>
      <c r="J42" s="198"/>
      <c r="K42" s="198"/>
    </row>
    <row r="43" spans="1:11" ht="35.25" customHeight="1">
      <c r="A43" s="463" t="s">
        <v>44</v>
      </c>
      <c r="B43" s="530"/>
      <c r="C43" s="530"/>
      <c r="D43" s="530"/>
      <c r="E43" s="530"/>
      <c r="F43" s="530"/>
      <c r="G43" s="530"/>
      <c r="H43" s="322"/>
      <c r="I43" s="230"/>
      <c r="J43" s="199"/>
      <c r="K43" s="199"/>
    </row>
    <row r="45" spans="1:9" s="172" customFormat="1" ht="28.5">
      <c r="A45" s="105" t="s">
        <v>11</v>
      </c>
      <c r="B45" s="401" t="s">
        <v>45</v>
      </c>
      <c r="C45" s="402"/>
      <c r="D45" s="105" t="s">
        <v>165</v>
      </c>
      <c r="E45" s="105" t="s">
        <v>164</v>
      </c>
      <c r="F45" s="401" t="s">
        <v>46</v>
      </c>
      <c r="G45" s="419"/>
      <c r="H45" s="231"/>
      <c r="I45" s="231"/>
    </row>
    <row r="46" spans="1:9" s="115" customFormat="1" ht="15">
      <c r="A46" s="109" t="s">
        <v>47</v>
      </c>
      <c r="B46" s="403" t="s">
        <v>111</v>
      </c>
      <c r="C46" s="404"/>
      <c r="D46" s="173"/>
      <c r="E46" s="173"/>
      <c r="F46" s="430">
        <f>SUM(F47:G64)</f>
        <v>1041652.6118</v>
      </c>
      <c r="G46" s="419"/>
      <c r="H46" s="231"/>
      <c r="I46" s="231"/>
    </row>
    <row r="47" spans="1:9" ht="15">
      <c r="A47" s="34" t="s">
        <v>16</v>
      </c>
      <c r="B47" s="413" t="s">
        <v>429</v>
      </c>
      <c r="C47" s="414"/>
      <c r="D47" s="356" t="s">
        <v>430</v>
      </c>
      <c r="E47" s="356">
        <v>1</v>
      </c>
      <c r="F47" s="431">
        <v>22668</v>
      </c>
      <c r="G47" s="431"/>
      <c r="H47" s="181"/>
      <c r="I47" s="181"/>
    </row>
    <row r="48" spans="1:9" ht="15">
      <c r="A48" s="34" t="s">
        <v>18</v>
      </c>
      <c r="B48" s="413" t="s">
        <v>431</v>
      </c>
      <c r="C48" s="414"/>
      <c r="D48" s="356" t="s">
        <v>236</v>
      </c>
      <c r="E48" s="356">
        <v>1</v>
      </c>
      <c r="F48" s="431">
        <v>56640</v>
      </c>
      <c r="G48" s="431"/>
      <c r="H48" s="181"/>
      <c r="I48" s="181"/>
    </row>
    <row r="49" spans="1:9" ht="15" customHeight="1">
      <c r="A49" s="34" t="s">
        <v>20</v>
      </c>
      <c r="B49" s="413" t="s">
        <v>432</v>
      </c>
      <c r="C49" s="414"/>
      <c r="D49" s="356" t="s">
        <v>382</v>
      </c>
      <c r="E49" s="356">
        <v>1</v>
      </c>
      <c r="F49" s="451">
        <v>10800</v>
      </c>
      <c r="G49" s="452"/>
      <c r="H49" s="181"/>
      <c r="I49" s="181"/>
    </row>
    <row r="50" spans="1:9" ht="18" customHeight="1">
      <c r="A50" s="34" t="s">
        <v>22</v>
      </c>
      <c r="B50" s="413" t="s">
        <v>433</v>
      </c>
      <c r="C50" s="414"/>
      <c r="D50" s="356" t="s">
        <v>236</v>
      </c>
      <c r="E50" s="356">
        <v>2</v>
      </c>
      <c r="F50" s="431">
        <v>3000</v>
      </c>
      <c r="G50" s="431"/>
      <c r="H50" s="181"/>
      <c r="I50" s="181"/>
    </row>
    <row r="51" spans="1:9" ht="18" customHeight="1">
      <c r="A51" s="34" t="s">
        <v>24</v>
      </c>
      <c r="B51" s="413" t="s">
        <v>627</v>
      </c>
      <c r="C51" s="414"/>
      <c r="D51" s="356" t="s">
        <v>434</v>
      </c>
      <c r="E51" s="356">
        <v>121</v>
      </c>
      <c r="F51" s="431">
        <v>217800</v>
      </c>
      <c r="G51" s="431"/>
      <c r="H51" s="181"/>
      <c r="I51" s="181"/>
    </row>
    <row r="52" spans="1:9" ht="18" customHeight="1">
      <c r="A52" s="34" t="s">
        <v>103</v>
      </c>
      <c r="B52" s="413" t="s">
        <v>435</v>
      </c>
      <c r="C52" s="414"/>
      <c r="D52" s="356" t="s">
        <v>236</v>
      </c>
      <c r="E52" s="356">
        <v>1</v>
      </c>
      <c r="F52" s="431">
        <v>4000</v>
      </c>
      <c r="G52" s="431"/>
      <c r="H52" s="181"/>
      <c r="I52" s="181"/>
    </row>
    <row r="53" spans="1:9" ht="15">
      <c r="A53" s="34" t="s">
        <v>104</v>
      </c>
      <c r="B53" s="413" t="s">
        <v>628</v>
      </c>
      <c r="C53" s="414"/>
      <c r="D53" s="356" t="s">
        <v>169</v>
      </c>
      <c r="E53" s="356">
        <v>430</v>
      </c>
      <c r="F53" s="431">
        <v>650204</v>
      </c>
      <c r="G53" s="431"/>
      <c r="H53" s="181"/>
      <c r="I53" s="181"/>
    </row>
    <row r="54" spans="1:9" ht="15">
      <c r="A54" s="34" t="s">
        <v>117</v>
      </c>
      <c r="B54" s="413" t="s">
        <v>436</v>
      </c>
      <c r="C54" s="414"/>
      <c r="D54" s="356" t="s">
        <v>166</v>
      </c>
      <c r="E54" s="356">
        <v>1</v>
      </c>
      <c r="F54" s="431">
        <v>2500</v>
      </c>
      <c r="G54" s="431"/>
      <c r="H54" s="181"/>
      <c r="I54" s="181"/>
    </row>
    <row r="55" spans="1:9" ht="15">
      <c r="A55" s="34" t="s">
        <v>118</v>
      </c>
      <c r="B55" s="413" t="s">
        <v>437</v>
      </c>
      <c r="C55" s="414"/>
      <c r="D55" s="356" t="s">
        <v>166</v>
      </c>
      <c r="E55" s="356">
        <v>7</v>
      </c>
      <c r="F55" s="451">
        <v>4500</v>
      </c>
      <c r="G55" s="452"/>
      <c r="H55" s="181"/>
      <c r="I55" s="181"/>
    </row>
    <row r="56" spans="1:9" ht="30" customHeight="1">
      <c r="A56" s="34" t="s">
        <v>119</v>
      </c>
      <c r="B56" s="413" t="s">
        <v>737</v>
      </c>
      <c r="C56" s="414"/>
      <c r="D56" s="152"/>
      <c r="E56" s="152"/>
      <c r="F56" s="431">
        <v>16000</v>
      </c>
      <c r="G56" s="431"/>
      <c r="H56" s="181"/>
      <c r="I56" s="181"/>
    </row>
    <row r="57" spans="1:9" ht="30" customHeight="1">
      <c r="A57" s="34" t="s">
        <v>140</v>
      </c>
      <c r="B57" s="413" t="s">
        <v>383</v>
      </c>
      <c r="C57" s="414"/>
      <c r="D57" s="356" t="s">
        <v>230</v>
      </c>
      <c r="E57" s="356">
        <v>0.14</v>
      </c>
      <c r="F57" s="431">
        <v>2895.58</v>
      </c>
      <c r="G57" s="431"/>
      <c r="H57" s="181"/>
      <c r="I57" s="181"/>
    </row>
    <row r="58" spans="1:9" ht="15" customHeight="1">
      <c r="A58" s="34" t="s">
        <v>142</v>
      </c>
      <c r="B58" s="413" t="s">
        <v>539</v>
      </c>
      <c r="C58" s="414"/>
      <c r="D58" s="356" t="s">
        <v>166</v>
      </c>
      <c r="E58" s="356">
        <v>25</v>
      </c>
      <c r="F58" s="451">
        <v>4013.75</v>
      </c>
      <c r="G58" s="452"/>
      <c r="H58" s="181"/>
      <c r="I58" s="181"/>
    </row>
    <row r="59" spans="1:9" ht="15" customHeight="1">
      <c r="A59" s="34" t="s">
        <v>143</v>
      </c>
      <c r="B59" s="382" t="s">
        <v>733</v>
      </c>
      <c r="C59" s="383"/>
      <c r="D59" s="374"/>
      <c r="E59" s="374"/>
      <c r="F59" s="446">
        <v>2400</v>
      </c>
      <c r="G59" s="447"/>
      <c r="H59" s="181"/>
      <c r="I59" s="181"/>
    </row>
    <row r="60" spans="1:9" ht="15" customHeight="1">
      <c r="A60" s="34" t="s">
        <v>287</v>
      </c>
      <c r="B60" s="382" t="s">
        <v>688</v>
      </c>
      <c r="C60" s="383"/>
      <c r="D60" s="374"/>
      <c r="E60" s="374"/>
      <c r="F60" s="446">
        <v>1940</v>
      </c>
      <c r="G60" s="447"/>
      <c r="H60" s="181"/>
      <c r="I60" s="181"/>
    </row>
    <row r="61" spans="1:9" ht="15" customHeight="1">
      <c r="A61" s="34" t="s">
        <v>314</v>
      </c>
      <c r="B61" s="382" t="s">
        <v>734</v>
      </c>
      <c r="C61" s="383"/>
      <c r="D61" s="374"/>
      <c r="E61" s="374"/>
      <c r="F61" s="446">
        <v>2100</v>
      </c>
      <c r="G61" s="447"/>
      <c r="H61" s="181"/>
      <c r="I61" s="181"/>
    </row>
    <row r="62" spans="1:9" ht="15" customHeight="1">
      <c r="A62" s="34" t="s">
        <v>317</v>
      </c>
      <c r="B62" s="382" t="s">
        <v>735</v>
      </c>
      <c r="C62" s="383"/>
      <c r="D62" s="374"/>
      <c r="E62" s="374"/>
      <c r="F62" s="446">
        <v>36652.62</v>
      </c>
      <c r="G62" s="447"/>
      <c r="H62" s="181"/>
      <c r="I62" s="181"/>
    </row>
    <row r="63" spans="1:9" ht="15" customHeight="1">
      <c r="A63" s="34" t="s">
        <v>318</v>
      </c>
      <c r="B63" s="382" t="s">
        <v>736</v>
      </c>
      <c r="C63" s="383"/>
      <c r="D63" s="374"/>
      <c r="E63" s="374"/>
      <c r="F63" s="446">
        <v>1335</v>
      </c>
      <c r="G63" s="447"/>
      <c r="H63" s="181"/>
      <c r="I63" s="181"/>
    </row>
    <row r="64" spans="1:9" ht="15" customHeight="1">
      <c r="A64" s="34" t="s">
        <v>319</v>
      </c>
      <c r="B64" s="440" t="s">
        <v>191</v>
      </c>
      <c r="C64" s="529"/>
      <c r="D64" s="191"/>
      <c r="E64" s="191"/>
      <c r="F64" s="429">
        <f>E25*1%</f>
        <v>2203.6618</v>
      </c>
      <c r="G64" s="429"/>
      <c r="H64" s="181"/>
      <c r="I64" s="181"/>
    </row>
    <row r="65" spans="1:9" ht="15">
      <c r="A65" s="169"/>
      <c r="B65" s="93"/>
      <c r="C65" s="93"/>
      <c r="D65" s="93"/>
      <c r="E65" s="93"/>
      <c r="F65" s="181"/>
      <c r="G65" s="181"/>
      <c r="H65" s="181"/>
      <c r="I65" s="181"/>
    </row>
    <row r="66" s="67" customFormat="1" ht="15"/>
    <row r="67" spans="1:6" s="67" customFormat="1" ht="15">
      <c r="A67" s="67" t="s">
        <v>55</v>
      </c>
      <c r="C67" s="67" t="s">
        <v>49</v>
      </c>
      <c r="F67" s="67" t="s">
        <v>90</v>
      </c>
    </row>
    <row r="68" s="67" customFormat="1" ht="15">
      <c r="F68" s="127" t="s">
        <v>438</v>
      </c>
    </row>
    <row r="69" s="67" customFormat="1" ht="15">
      <c r="A69" s="67" t="s">
        <v>50</v>
      </c>
    </row>
    <row r="70" spans="3:9" s="67" customFormat="1" ht="15">
      <c r="C70" s="129" t="s">
        <v>51</v>
      </c>
      <c r="E70" s="129"/>
      <c r="F70" s="129"/>
      <c r="G70" s="129"/>
      <c r="H70" s="129"/>
      <c r="I70" s="129"/>
    </row>
  </sheetData>
  <sheetProtection/>
  <mergeCells count="52">
    <mergeCell ref="B62:C62"/>
    <mergeCell ref="B63:C63"/>
    <mergeCell ref="F59:G59"/>
    <mergeCell ref="F60:G60"/>
    <mergeCell ref="F61:G61"/>
    <mergeCell ref="F62:G62"/>
    <mergeCell ref="F63:G63"/>
    <mergeCell ref="B49:C49"/>
    <mergeCell ref="B48:C48"/>
    <mergeCell ref="F45:G45"/>
    <mergeCell ref="B45:C45"/>
    <mergeCell ref="A39:B39"/>
    <mergeCell ref="A40:B41"/>
    <mergeCell ref="A43:G43"/>
    <mergeCell ref="B47:C47"/>
    <mergeCell ref="F46:G46"/>
    <mergeCell ref="A11:K11"/>
    <mergeCell ref="A1:K1"/>
    <mergeCell ref="A2:K2"/>
    <mergeCell ref="A3:K3"/>
    <mergeCell ref="A5:K5"/>
    <mergeCell ref="A10:K10"/>
    <mergeCell ref="B53:C53"/>
    <mergeCell ref="F64:G64"/>
    <mergeCell ref="B58:C58"/>
    <mergeCell ref="F56:G56"/>
    <mergeCell ref="F58:G58"/>
    <mergeCell ref="B64:C64"/>
    <mergeCell ref="B56:C56"/>
    <mergeCell ref="B59:C59"/>
    <mergeCell ref="B60:C60"/>
    <mergeCell ref="B61:C61"/>
    <mergeCell ref="F53:G53"/>
    <mergeCell ref="B55:C55"/>
    <mergeCell ref="B57:C57"/>
    <mergeCell ref="F57:G57"/>
    <mergeCell ref="A12:K12"/>
    <mergeCell ref="A35:F35"/>
    <mergeCell ref="F47:G47"/>
    <mergeCell ref="F48:G48"/>
    <mergeCell ref="F49:G49"/>
    <mergeCell ref="F54:G54"/>
    <mergeCell ref="F50:G50"/>
    <mergeCell ref="B54:C54"/>
    <mergeCell ref="B46:C46"/>
    <mergeCell ref="A36:C36"/>
    <mergeCell ref="F55:G55"/>
    <mergeCell ref="B51:C51"/>
    <mergeCell ref="B52:C52"/>
    <mergeCell ref="F51:G51"/>
    <mergeCell ref="F52:G52"/>
    <mergeCell ref="B50:C50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landscape" paperSize="9" scale="95" r:id="rId1"/>
  <colBreaks count="1" manualBreakCount="1">
    <brk id="9" max="52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7030A0"/>
  </sheetPr>
  <dimension ref="A1:Q65"/>
  <sheetViews>
    <sheetView zoomScalePageLayoutView="0" workbookViewId="0" topLeftCell="A51">
      <selection activeCell="A61" sqref="A61"/>
    </sheetView>
  </sheetViews>
  <sheetFormatPr defaultColWidth="9.140625" defaultRowHeight="15" outlineLevelCol="1"/>
  <cols>
    <col min="1" max="1" width="6.140625" style="35" customWidth="1"/>
    <col min="2" max="2" width="46.00390625" style="35" customWidth="1"/>
    <col min="3" max="3" width="13.57421875" style="35" customWidth="1"/>
    <col min="4" max="4" width="12.7109375" style="35" customWidth="1"/>
    <col min="5" max="5" width="15.140625" style="35" customWidth="1"/>
    <col min="6" max="6" width="15.00390625" style="35" customWidth="1"/>
    <col min="7" max="7" width="14.421875" style="35" customWidth="1"/>
    <col min="8" max="8" width="10.8515625" style="35" hidden="1" customWidth="1" outlineLevel="1"/>
    <col min="9" max="9" width="8.7109375" style="35" hidden="1" customWidth="1" outlineLevel="1"/>
    <col min="10" max="10" width="11.00390625" style="35" hidden="1" customWidth="1" outlineLevel="1"/>
    <col min="11" max="11" width="9.57421875" style="35" hidden="1" customWidth="1" outlineLevel="1"/>
    <col min="12" max="12" width="8.57421875" style="35" hidden="1" customWidth="1" outlineLevel="1"/>
    <col min="13" max="13" width="11.8515625" style="232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158"/>
      <c r="I1" s="158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300"/>
      <c r="I2" s="300"/>
    </row>
    <row r="3" spans="1:11" ht="15">
      <c r="A3" s="376" t="s">
        <v>401</v>
      </c>
      <c r="B3" s="376"/>
      <c r="C3" s="376"/>
      <c r="D3" s="376"/>
      <c r="E3" s="376"/>
      <c r="F3" s="376"/>
      <c r="G3" s="376"/>
      <c r="H3" s="301"/>
      <c r="I3" s="301"/>
      <c r="J3" s="301"/>
      <c r="K3" s="301"/>
    </row>
    <row r="4" spans="1:9" ht="15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>
      <c r="A5" s="406" t="s">
        <v>1</v>
      </c>
      <c r="B5" s="405"/>
      <c r="C5" s="405"/>
      <c r="D5" s="405"/>
      <c r="E5" s="405"/>
      <c r="F5" s="405"/>
      <c r="G5" s="405"/>
      <c r="H5" s="300"/>
      <c r="I5" s="300"/>
    </row>
    <row r="7" spans="1:6" s="67" customFormat="1" ht="15">
      <c r="A7" s="67" t="s">
        <v>2</v>
      </c>
      <c r="F7" s="127" t="s">
        <v>135</v>
      </c>
    </row>
    <row r="8" spans="1:10" s="67" customFormat="1" ht="15">
      <c r="A8" s="67" t="s">
        <v>3</v>
      </c>
      <c r="F8" s="295" t="s">
        <v>478</v>
      </c>
      <c r="H8" s="168">
        <f>98.9+88.2+105.9+151.9+137.3+99+97.9+101.8+104.6</f>
        <v>985.5</v>
      </c>
      <c r="I8" s="233">
        <f>10449.9+6187.3</f>
        <v>16637.2</v>
      </c>
      <c r="J8" s="202">
        <f>99+97.9+101.8+104.6+98.9+88.2+105.9+137.3+151.9</f>
        <v>985.4999999999999</v>
      </c>
    </row>
    <row r="9" spans="9:12" s="67" customFormat="1" ht="15">
      <c r="I9" s="299">
        <f>9858.6+5268.3</f>
        <v>15126.900000000001</v>
      </c>
      <c r="K9" s="211">
        <f>I9+I10+I11</f>
        <v>15651.7</v>
      </c>
      <c r="L9" s="211">
        <f>H8+I10+I11</f>
        <v>1510.3</v>
      </c>
    </row>
    <row r="10" spans="1:13" s="67" customFormat="1" ht="15">
      <c r="A10" s="378" t="s">
        <v>8</v>
      </c>
      <c r="B10" s="378"/>
      <c r="C10" s="378"/>
      <c r="D10" s="378"/>
      <c r="E10" s="378"/>
      <c r="F10" s="378"/>
      <c r="G10" s="378"/>
      <c r="H10" s="62"/>
      <c r="I10" s="62">
        <f>95.1+106.9+49.45+49.45+35.9</f>
        <v>336.79999999999995</v>
      </c>
      <c r="J10" s="126"/>
      <c r="M10" s="211"/>
    </row>
    <row r="11" spans="1:10" s="67" customFormat="1" ht="15">
      <c r="A11" s="378" t="s">
        <v>9</v>
      </c>
      <c r="B11" s="378"/>
      <c r="C11" s="378"/>
      <c r="D11" s="378"/>
      <c r="E11" s="378"/>
      <c r="F11" s="378"/>
      <c r="G11" s="378"/>
      <c r="H11" s="62"/>
      <c r="I11" s="62">
        <v>188</v>
      </c>
      <c r="J11" s="67">
        <f>J8+J10</f>
        <v>985.4999999999999</v>
      </c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62"/>
      <c r="I12" s="62"/>
    </row>
    <row r="13" spans="1:9" s="67" customFormat="1" ht="15.75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331</v>
      </c>
      <c r="B14" s="64"/>
      <c r="C14" s="64"/>
      <c r="D14" s="69"/>
      <c r="E14" s="70"/>
      <c r="F14" s="70"/>
      <c r="G14" s="145">
        <f>'[1]Солнечный б-р 2 общий'!$G$37</f>
        <v>-81117.47789999982</v>
      </c>
      <c r="H14" s="62"/>
      <c r="I14" s="62"/>
    </row>
    <row r="15" s="67" customFormat="1" ht="15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9" s="168" customFormat="1" ht="28.5">
      <c r="A17" s="75" t="s">
        <v>14</v>
      </c>
      <c r="B17" s="41" t="s">
        <v>15</v>
      </c>
      <c r="C17" s="97">
        <f>C18+C19+C20+C21+C22</f>
        <v>13.74</v>
      </c>
      <c r="D17" s="76">
        <f>1663551.19+939238.16</f>
        <v>2602789.35</v>
      </c>
      <c r="E17" s="76">
        <f>1611890.07+914182.41</f>
        <v>2526072.48</v>
      </c>
      <c r="F17" s="76">
        <f aca="true" t="shared" si="0" ref="F17:F25">D17</f>
        <v>2602789.35</v>
      </c>
      <c r="G17" s="77">
        <f aca="true" t="shared" si="1" ref="G17:G22">D17-E17</f>
        <v>76716.87000000011</v>
      </c>
      <c r="H17" s="137">
        <f aca="true" t="shared" si="2" ref="H17:H22">C17</f>
        <v>13.74</v>
      </c>
      <c r="I17" s="168">
        <f>D17/12/C17</f>
        <v>15785.961608442505</v>
      </c>
    </row>
    <row r="18" spans="1:9" s="67" customFormat="1" ht="15">
      <c r="A18" s="81" t="s">
        <v>16</v>
      </c>
      <c r="B18" s="34" t="s">
        <v>17</v>
      </c>
      <c r="C18" s="82">
        <v>3.46</v>
      </c>
      <c r="D18" s="83">
        <f>D17*I18</f>
        <v>655433.1259825327</v>
      </c>
      <c r="E18" s="83">
        <f>E17*I18</f>
        <v>636114.3217467249</v>
      </c>
      <c r="F18" s="83">
        <f t="shared" si="0"/>
        <v>655433.1259825327</v>
      </c>
      <c r="G18" s="84">
        <f t="shared" si="1"/>
        <v>19318.804235807853</v>
      </c>
      <c r="H18" s="78">
        <f t="shared" si="2"/>
        <v>3.46</v>
      </c>
      <c r="I18" s="67">
        <f>H18/H17</f>
        <v>0.25181950509461426</v>
      </c>
    </row>
    <row r="19" spans="1:9" s="67" customFormat="1" ht="15">
      <c r="A19" s="81" t="s">
        <v>18</v>
      </c>
      <c r="B19" s="34" t="s">
        <v>19</v>
      </c>
      <c r="C19" s="82">
        <v>1.69</v>
      </c>
      <c r="D19" s="83">
        <f>D17*I19</f>
        <v>320139.301419214</v>
      </c>
      <c r="E19" s="83">
        <f>E17*I19</f>
        <v>310703.2380786026</v>
      </c>
      <c r="F19" s="83">
        <f t="shared" si="0"/>
        <v>320139.301419214</v>
      </c>
      <c r="G19" s="84">
        <f t="shared" si="1"/>
        <v>9436.063340611407</v>
      </c>
      <c r="H19" s="78">
        <f t="shared" si="2"/>
        <v>1.69</v>
      </c>
      <c r="I19" s="67">
        <f>H19/H17</f>
        <v>0.12299854439592431</v>
      </c>
    </row>
    <row r="20" spans="1:9" s="67" customFormat="1" ht="15">
      <c r="A20" s="81" t="s">
        <v>20</v>
      </c>
      <c r="B20" s="34" t="s">
        <v>21</v>
      </c>
      <c r="C20" s="82">
        <v>2.05</v>
      </c>
      <c r="D20" s="83">
        <f>D17*I20</f>
        <v>388334.65556768555</v>
      </c>
      <c r="E20" s="83">
        <f>E17*I20</f>
        <v>376888.543231441</v>
      </c>
      <c r="F20" s="83">
        <f t="shared" si="0"/>
        <v>388334.65556768555</v>
      </c>
      <c r="G20" s="84">
        <f t="shared" si="1"/>
        <v>11446.11233624455</v>
      </c>
      <c r="H20" s="78">
        <f t="shared" si="2"/>
        <v>2.05</v>
      </c>
      <c r="I20" s="67">
        <f>H20/H17</f>
        <v>0.1491994177583697</v>
      </c>
    </row>
    <row r="21" spans="1:9" s="67" customFormat="1" ht="15">
      <c r="A21" s="81" t="s">
        <v>22</v>
      </c>
      <c r="B21" s="34" t="s">
        <v>23</v>
      </c>
      <c r="C21" s="82">
        <v>3.04</v>
      </c>
      <c r="D21" s="83">
        <f>D17*I21</f>
        <v>575871.8794759826</v>
      </c>
      <c r="E21" s="83">
        <f>E17*I21</f>
        <v>558898.1324017467</v>
      </c>
      <c r="F21" s="83">
        <f t="shared" si="0"/>
        <v>575871.8794759826</v>
      </c>
      <c r="G21" s="84">
        <f t="shared" si="1"/>
        <v>16973.74707423593</v>
      </c>
      <c r="H21" s="78">
        <f t="shared" si="2"/>
        <v>3.04</v>
      </c>
      <c r="I21" s="67">
        <f>H21/H17</f>
        <v>0.22125181950509462</v>
      </c>
    </row>
    <row r="22" spans="1:9" s="67" customFormat="1" ht="15">
      <c r="A22" s="81" t="s">
        <v>22</v>
      </c>
      <c r="B22" s="34" t="s">
        <v>183</v>
      </c>
      <c r="C22" s="82">
        <v>3.5</v>
      </c>
      <c r="D22" s="83">
        <f>D17*I22</f>
        <v>663010.3875545852</v>
      </c>
      <c r="E22" s="83">
        <f>E17*I22</f>
        <v>643468.2445414847</v>
      </c>
      <c r="F22" s="83">
        <f>D22</f>
        <v>663010.3875545852</v>
      </c>
      <c r="G22" s="84">
        <f t="shared" si="1"/>
        <v>19542.14301310049</v>
      </c>
      <c r="H22" s="78">
        <f t="shared" si="2"/>
        <v>3.5</v>
      </c>
      <c r="I22" s="67">
        <f>H22/H17</f>
        <v>0.2547307132459971</v>
      </c>
    </row>
    <row r="23" spans="1:17" s="39" customFormat="1" ht="15">
      <c r="A23" s="41" t="s">
        <v>25</v>
      </c>
      <c r="B23" s="41" t="s">
        <v>26</v>
      </c>
      <c r="C23" s="97">
        <v>3.86</v>
      </c>
      <c r="D23" s="77">
        <f>462729+243232.88</f>
        <v>705961.88</v>
      </c>
      <c r="E23" s="77">
        <f>456918.11+239580.02</f>
        <v>696498.13</v>
      </c>
      <c r="F23" s="76">
        <f t="shared" si="0"/>
        <v>705961.88</v>
      </c>
      <c r="G23" s="77">
        <f aca="true" t="shared" si="3" ref="G23:G32">D23-E23</f>
        <v>9463.75</v>
      </c>
      <c r="M23" s="234"/>
      <c r="Q23" s="182"/>
    </row>
    <row r="24" spans="1:13" s="39" customFormat="1" ht="15">
      <c r="A24" s="41" t="s">
        <v>27</v>
      </c>
      <c r="B24" s="41" t="s">
        <v>28</v>
      </c>
      <c r="C24" s="97">
        <v>0</v>
      </c>
      <c r="D24" s="77">
        <v>0</v>
      </c>
      <c r="E24" s="77">
        <f>25696.75+14592.05</f>
        <v>40288.8</v>
      </c>
      <c r="F24" s="77">
        <f t="shared" si="0"/>
        <v>0</v>
      </c>
      <c r="G24" s="77">
        <f t="shared" si="3"/>
        <v>-40288.8</v>
      </c>
      <c r="M24" s="234"/>
    </row>
    <row r="25" spans="1:13" s="39" customFormat="1" ht="15">
      <c r="A25" s="41" t="s">
        <v>29</v>
      </c>
      <c r="B25" s="41" t="s">
        <v>163</v>
      </c>
      <c r="C25" s="97">
        <v>1902.11</v>
      </c>
      <c r="D25" s="90">
        <v>0</v>
      </c>
      <c r="E25" s="90">
        <v>0</v>
      </c>
      <c r="F25" s="90">
        <f t="shared" si="0"/>
        <v>0</v>
      </c>
      <c r="G25" s="77">
        <f t="shared" si="3"/>
        <v>0</v>
      </c>
      <c r="M25" s="234"/>
    </row>
    <row r="26" spans="1:15" s="39" customFormat="1" ht="15">
      <c r="A26" s="41" t="s">
        <v>31</v>
      </c>
      <c r="B26" s="41" t="s">
        <v>116</v>
      </c>
      <c r="C26" s="97">
        <v>2.06</v>
      </c>
      <c r="D26" s="77">
        <f>248352.24+138361.73</f>
        <v>386713.97</v>
      </c>
      <c r="E26" s="77">
        <f>245314.39+136982.41</f>
        <v>382296.80000000005</v>
      </c>
      <c r="F26" s="87">
        <f>G45</f>
        <v>560111.1680000001</v>
      </c>
      <c r="G26" s="77">
        <f t="shared" si="3"/>
        <v>4417.1699999999255</v>
      </c>
      <c r="M26" s="234"/>
      <c r="O26" s="182"/>
    </row>
    <row r="27" spans="1:13" s="39" customFormat="1" ht="15">
      <c r="A27" s="41" t="s">
        <v>33</v>
      </c>
      <c r="B27" s="41" t="s">
        <v>34</v>
      </c>
      <c r="C27" s="46">
        <v>0</v>
      </c>
      <c r="D27" s="77">
        <v>0</v>
      </c>
      <c r="E27" s="77">
        <v>0</v>
      </c>
      <c r="F27" s="87">
        <v>0</v>
      </c>
      <c r="G27" s="77">
        <f t="shared" si="3"/>
        <v>0</v>
      </c>
      <c r="M27" s="234"/>
    </row>
    <row r="28" spans="1:13" s="39" customFormat="1" ht="15">
      <c r="A28" s="41" t="s">
        <v>35</v>
      </c>
      <c r="B28" s="41" t="s">
        <v>36</v>
      </c>
      <c r="C28" s="97">
        <f>SUM(C29:C32)</f>
        <v>0</v>
      </c>
      <c r="D28" s="77">
        <f>SUM(D29:D32)</f>
        <v>9524185.030000001</v>
      </c>
      <c r="E28" s="77">
        <f>SUM(E29:E32)</f>
        <v>9474577.89</v>
      </c>
      <c r="F28" s="77">
        <f>SUM(F29:F32)</f>
        <v>9524185.030000001</v>
      </c>
      <c r="G28" s="77">
        <f t="shared" si="3"/>
        <v>49607.140000000596</v>
      </c>
      <c r="M28" s="234"/>
    </row>
    <row r="29" spans="1:7" ht="15">
      <c r="A29" s="34" t="s">
        <v>37</v>
      </c>
      <c r="B29" s="34" t="s">
        <v>174</v>
      </c>
      <c r="C29" s="297" t="s">
        <v>479</v>
      </c>
      <c r="D29" s="84">
        <f>1517639.98+1104190.41</f>
        <v>2621830.3899999997</v>
      </c>
      <c r="E29" s="84">
        <f>1503537.15+1100447.38</f>
        <v>2603984.53</v>
      </c>
      <c r="F29" s="84">
        <f>D29</f>
        <v>2621830.3899999997</v>
      </c>
      <c r="G29" s="84">
        <f t="shared" si="3"/>
        <v>17845.85999999987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f>668747.87+334851.54</f>
        <v>1003599.4099999999</v>
      </c>
      <c r="E30" s="84">
        <f>703677.47+354934.21</f>
        <v>1058611.68</v>
      </c>
      <c r="F30" s="84">
        <f>D30</f>
        <v>1003599.4099999999</v>
      </c>
      <c r="G30" s="84">
        <f t="shared" si="3"/>
        <v>-55012.27000000002</v>
      </c>
    </row>
    <row r="31" spans="1:7" ht="15">
      <c r="A31" s="34" t="s">
        <v>42</v>
      </c>
      <c r="B31" s="34" t="s">
        <v>40</v>
      </c>
      <c r="C31" s="290" t="s">
        <v>480</v>
      </c>
      <c r="D31" s="84">
        <f>959089.49+594255.17</f>
        <v>1553344.6600000001</v>
      </c>
      <c r="E31" s="84">
        <f>958917.17+565832.7</f>
        <v>1524749.87</v>
      </c>
      <c r="F31" s="84">
        <f>D31</f>
        <v>1553344.6600000001</v>
      </c>
      <c r="G31" s="84">
        <f t="shared" si="3"/>
        <v>28594.790000000037</v>
      </c>
    </row>
    <row r="32" spans="1:7" ht="15">
      <c r="A32" s="34" t="s">
        <v>41</v>
      </c>
      <c r="B32" s="34" t="s">
        <v>43</v>
      </c>
      <c r="C32" s="290" t="s">
        <v>424</v>
      </c>
      <c r="D32" s="84">
        <f>2734126.59+1611283.98</f>
        <v>4345410.57</v>
      </c>
      <c r="E32" s="84">
        <f>2678073.91+1609157.9</f>
        <v>4287231.8100000005</v>
      </c>
      <c r="F32" s="84">
        <f>D32</f>
        <v>4345410.57</v>
      </c>
      <c r="G32" s="84">
        <f t="shared" si="3"/>
        <v>58178.75999999978</v>
      </c>
    </row>
    <row r="33" spans="1:7" ht="18" customHeight="1">
      <c r="A33" s="235" t="s">
        <v>204</v>
      </c>
      <c r="B33" s="333" t="s">
        <v>304</v>
      </c>
      <c r="C33" s="337"/>
      <c r="D33" s="338">
        <f>3000+4800+3600+10800+3000</f>
        <v>25200</v>
      </c>
      <c r="E33" s="338">
        <f>2250+4785+3600+8100+3000</f>
        <v>21735</v>
      </c>
      <c r="F33" s="338">
        <v>0</v>
      </c>
      <c r="G33" s="338">
        <f>D33-E33</f>
        <v>3465</v>
      </c>
    </row>
    <row r="34" spans="1:10" s="102" customFormat="1" ht="15.75" thickBot="1">
      <c r="A34" s="379" t="s">
        <v>328</v>
      </c>
      <c r="B34" s="380"/>
      <c r="C34" s="380"/>
      <c r="D34" s="381"/>
      <c r="E34" s="381"/>
      <c r="F34" s="381"/>
      <c r="G34" s="101"/>
      <c r="H34" s="101"/>
      <c r="I34" s="101"/>
      <c r="J34" s="101"/>
    </row>
    <row r="35" spans="1:9" s="67" customFormat="1" ht="15.75" thickBot="1">
      <c r="A35" s="391" t="s">
        <v>410</v>
      </c>
      <c r="B35" s="392"/>
      <c r="C35" s="392"/>
      <c r="D35" s="65">
        <f>1595458.73+860712.76</f>
        <v>2456171.49</v>
      </c>
      <c r="E35" s="66"/>
      <c r="F35" s="66"/>
      <c r="G35" s="66"/>
      <c r="H35" s="62"/>
      <c r="I35" s="62"/>
    </row>
    <row r="36" spans="1:9" s="67" customFormat="1" ht="5.2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62">
        <f>G14+E26-F26</f>
        <v>-258931.84589999984</v>
      </c>
      <c r="H37" s="236"/>
      <c r="I37" s="62"/>
    </row>
    <row r="38" spans="1:9" s="67" customFormat="1" ht="5.25" customHeight="1">
      <c r="A38" s="68"/>
      <c r="B38" s="68"/>
      <c r="C38" s="68"/>
      <c r="D38" s="40"/>
      <c r="E38" s="66"/>
      <c r="F38" s="66"/>
      <c r="G38" s="40"/>
      <c r="H38" s="62"/>
      <c r="I38" s="62"/>
    </row>
    <row r="39" spans="1:9" s="67" customFormat="1" ht="15">
      <c r="A39" s="523" t="s">
        <v>145</v>
      </c>
      <c r="B39" s="523"/>
      <c r="C39" s="68"/>
      <c r="D39" s="40"/>
      <c r="E39" s="66"/>
      <c r="F39" s="66"/>
      <c r="G39" s="40"/>
      <c r="H39" s="62"/>
      <c r="I39" s="62"/>
    </row>
    <row r="40" spans="1:9" s="67" customFormat="1" ht="15">
      <c r="A40" s="492" t="s">
        <v>146</v>
      </c>
      <c r="B40" s="493"/>
      <c r="C40" s="44" t="s">
        <v>147</v>
      </c>
      <c r="D40" s="44" t="s">
        <v>148</v>
      </c>
      <c r="E40" s="45" t="s">
        <v>149</v>
      </c>
      <c r="F40" s="42" t="s">
        <v>150</v>
      </c>
      <c r="G40" s="45" t="s">
        <v>151</v>
      </c>
      <c r="H40" s="62"/>
      <c r="I40" s="62"/>
    </row>
    <row r="41" spans="1:9" s="67" customFormat="1" ht="15">
      <c r="A41" s="494"/>
      <c r="B41" s="495"/>
      <c r="C41" s="298">
        <f>99+97.9+101.8+104.6+98.9+88.2+105.9+137.3+151.9</f>
        <v>985.4999999999999</v>
      </c>
      <c r="D41" s="154">
        <v>14.85</v>
      </c>
      <c r="E41" s="81">
        <f>37251.43+26790+20663.16+17209.56+19297.32+58282.32+20409.6</f>
        <v>199903.39</v>
      </c>
      <c r="F41" s="81">
        <f>34076.75+28942.86+18941.23+17209.56+17689.21+61548.32+20409.6</f>
        <v>198817.53</v>
      </c>
      <c r="G41" s="154">
        <f>E41-F41</f>
        <v>1085.8600000000151</v>
      </c>
      <c r="H41" s="62"/>
      <c r="I41" s="62"/>
    </row>
    <row r="42" spans="1:9" ht="35.25" customHeight="1">
      <c r="A42" s="463" t="s">
        <v>44</v>
      </c>
      <c r="B42" s="530"/>
      <c r="C42" s="530"/>
      <c r="D42" s="530"/>
      <c r="E42" s="530"/>
      <c r="F42" s="530"/>
      <c r="G42" s="530"/>
      <c r="H42" s="199"/>
      <c r="I42" s="199"/>
    </row>
    <row r="44" spans="1:9" s="172" customFormat="1" ht="28.5" customHeight="1">
      <c r="A44" s="105" t="s">
        <v>11</v>
      </c>
      <c r="B44" s="535" t="s">
        <v>45</v>
      </c>
      <c r="C44" s="535"/>
      <c r="D44" s="535"/>
      <c r="E44" s="105" t="s">
        <v>165</v>
      </c>
      <c r="F44" s="105" t="s">
        <v>164</v>
      </c>
      <c r="G44" s="105" t="s">
        <v>46</v>
      </c>
      <c r="H44" s="239"/>
      <c r="I44" s="114"/>
    </row>
    <row r="45" spans="1:9" s="115" customFormat="1" ht="15">
      <c r="A45" s="109" t="s">
        <v>47</v>
      </c>
      <c r="B45" s="534" t="s">
        <v>111</v>
      </c>
      <c r="C45" s="534"/>
      <c r="D45" s="534"/>
      <c r="E45" s="173"/>
      <c r="F45" s="173"/>
      <c r="G45" s="280">
        <f>SUM(G46:I60)</f>
        <v>560111.1680000001</v>
      </c>
      <c r="H45" s="281"/>
      <c r="I45" s="282"/>
    </row>
    <row r="46" spans="1:9" ht="15" customHeight="1">
      <c r="A46" s="34" t="s">
        <v>16</v>
      </c>
      <c r="B46" s="532" t="s">
        <v>613</v>
      </c>
      <c r="C46" s="532"/>
      <c r="D46" s="532"/>
      <c r="E46" s="356" t="s">
        <v>236</v>
      </c>
      <c r="F46" s="356">
        <v>1</v>
      </c>
      <c r="G46" s="348">
        <v>1300</v>
      </c>
      <c r="H46" s="283"/>
      <c r="I46" s="283"/>
    </row>
    <row r="47" spans="1:9" ht="15" customHeight="1">
      <c r="A47" s="34" t="s">
        <v>18</v>
      </c>
      <c r="B47" s="532" t="s">
        <v>621</v>
      </c>
      <c r="C47" s="532"/>
      <c r="D47" s="532"/>
      <c r="E47" s="356" t="s">
        <v>247</v>
      </c>
      <c r="F47" s="356">
        <v>0.03</v>
      </c>
      <c r="G47" s="348">
        <v>3462.49</v>
      </c>
      <c r="H47" s="283"/>
      <c r="I47" s="283"/>
    </row>
    <row r="48" spans="1:9" ht="15" customHeight="1">
      <c r="A48" s="34" t="s">
        <v>20</v>
      </c>
      <c r="B48" s="532" t="s">
        <v>622</v>
      </c>
      <c r="C48" s="532"/>
      <c r="D48" s="532"/>
      <c r="E48" s="356" t="s">
        <v>230</v>
      </c>
      <c r="F48" s="356">
        <v>0.05</v>
      </c>
      <c r="G48" s="348">
        <v>1725.83</v>
      </c>
      <c r="H48" s="283"/>
      <c r="I48" s="283"/>
    </row>
    <row r="49" spans="1:9" ht="15">
      <c r="A49" s="34" t="s">
        <v>22</v>
      </c>
      <c r="B49" s="532" t="s">
        <v>623</v>
      </c>
      <c r="C49" s="532"/>
      <c r="D49" s="532"/>
      <c r="E49" s="356" t="s">
        <v>230</v>
      </c>
      <c r="F49" s="356">
        <v>0.11</v>
      </c>
      <c r="G49" s="348">
        <v>9097.95</v>
      </c>
      <c r="H49" s="283"/>
      <c r="I49" s="283"/>
    </row>
    <row r="50" spans="1:9" ht="15" customHeight="1">
      <c r="A50" s="34" t="s">
        <v>24</v>
      </c>
      <c r="B50" s="532" t="s">
        <v>397</v>
      </c>
      <c r="C50" s="532"/>
      <c r="D50" s="532"/>
      <c r="E50" s="356" t="s">
        <v>247</v>
      </c>
      <c r="F50" s="356">
        <v>0.01</v>
      </c>
      <c r="G50" s="348">
        <v>1877.52</v>
      </c>
      <c r="H50" s="283"/>
      <c r="I50" s="283"/>
    </row>
    <row r="51" spans="1:9" ht="15" customHeight="1">
      <c r="A51" s="34" t="s">
        <v>103</v>
      </c>
      <c r="B51" s="532" t="s">
        <v>625</v>
      </c>
      <c r="C51" s="532"/>
      <c r="D51" s="532"/>
      <c r="E51" s="356" t="s">
        <v>236</v>
      </c>
      <c r="F51" s="356">
        <v>1</v>
      </c>
      <c r="G51" s="348">
        <v>4600</v>
      </c>
      <c r="H51" s="283"/>
      <c r="I51" s="283"/>
    </row>
    <row r="52" spans="1:9" ht="15" customHeight="1">
      <c r="A52" s="34" t="s">
        <v>104</v>
      </c>
      <c r="B52" s="532" t="s">
        <v>624</v>
      </c>
      <c r="C52" s="532"/>
      <c r="D52" s="532"/>
      <c r="E52" s="356" t="s">
        <v>430</v>
      </c>
      <c r="F52" s="356">
        <v>1</v>
      </c>
      <c r="G52" s="348">
        <v>494.01</v>
      </c>
      <c r="H52" s="283"/>
      <c r="I52" s="283"/>
    </row>
    <row r="53" spans="1:9" ht="15" customHeight="1">
      <c r="A53" s="34" t="s">
        <v>117</v>
      </c>
      <c r="B53" s="532" t="s">
        <v>617</v>
      </c>
      <c r="C53" s="532"/>
      <c r="D53" s="532"/>
      <c r="E53" s="356" t="s">
        <v>236</v>
      </c>
      <c r="F53" s="356">
        <v>1</v>
      </c>
      <c r="G53" s="348">
        <v>14400</v>
      </c>
      <c r="H53" s="181"/>
      <c r="I53" s="181"/>
    </row>
    <row r="54" spans="1:9" ht="27.75" customHeight="1">
      <c r="A54" s="34" t="s">
        <v>118</v>
      </c>
      <c r="B54" s="532" t="s">
        <v>626</v>
      </c>
      <c r="C54" s="532"/>
      <c r="D54" s="532"/>
      <c r="E54" s="152"/>
      <c r="F54" s="356" t="s">
        <v>237</v>
      </c>
      <c r="G54" s="348">
        <v>502370</v>
      </c>
      <c r="H54" s="181"/>
      <c r="I54" s="181"/>
    </row>
    <row r="55" spans="1:9" ht="15" customHeight="1">
      <c r="A55" s="34" t="s">
        <v>119</v>
      </c>
      <c r="B55" s="532" t="s">
        <v>574</v>
      </c>
      <c r="C55" s="532"/>
      <c r="D55" s="532"/>
      <c r="E55" s="356" t="s">
        <v>236</v>
      </c>
      <c r="F55" s="356">
        <v>1</v>
      </c>
      <c r="G55" s="348">
        <v>4982</v>
      </c>
      <c r="H55" s="181"/>
      <c r="I55" s="181"/>
    </row>
    <row r="56" spans="1:9" ht="15" customHeight="1">
      <c r="A56" s="34" t="s">
        <v>140</v>
      </c>
      <c r="B56" s="533" t="s">
        <v>738</v>
      </c>
      <c r="C56" s="533"/>
      <c r="D56" s="533"/>
      <c r="E56" s="152"/>
      <c r="F56" s="152"/>
      <c r="G56" s="121">
        <v>5561.4</v>
      </c>
      <c r="H56" s="181"/>
      <c r="I56" s="181"/>
    </row>
    <row r="57" spans="1:9" ht="15" customHeight="1">
      <c r="A57" s="34" t="s">
        <v>142</v>
      </c>
      <c r="B57" s="533" t="s">
        <v>739</v>
      </c>
      <c r="C57" s="533"/>
      <c r="D57" s="533"/>
      <c r="E57" s="152"/>
      <c r="F57" s="152"/>
      <c r="G57" s="121">
        <v>3750</v>
      </c>
      <c r="H57" s="181"/>
      <c r="I57" s="181"/>
    </row>
    <row r="58" spans="1:9" ht="15" customHeight="1">
      <c r="A58" s="34" t="s">
        <v>143</v>
      </c>
      <c r="B58" s="533" t="s">
        <v>740</v>
      </c>
      <c r="C58" s="533"/>
      <c r="D58" s="533"/>
      <c r="E58" s="152"/>
      <c r="F58" s="152"/>
      <c r="G58" s="121">
        <v>2667</v>
      </c>
      <c r="H58" s="181"/>
      <c r="I58" s="181"/>
    </row>
    <row r="59" spans="1:9" ht="15" customHeight="1">
      <c r="A59" s="34" t="s">
        <v>287</v>
      </c>
      <c r="B59" s="533"/>
      <c r="C59" s="533"/>
      <c r="D59" s="533"/>
      <c r="E59" s="152"/>
      <c r="F59" s="152"/>
      <c r="G59" s="121"/>
      <c r="H59" s="181"/>
      <c r="I59" s="181"/>
    </row>
    <row r="60" spans="1:9" s="67" customFormat="1" ht="15">
      <c r="A60" s="34" t="s">
        <v>314</v>
      </c>
      <c r="B60" s="531" t="s">
        <v>191</v>
      </c>
      <c r="C60" s="531"/>
      <c r="D60" s="531"/>
      <c r="E60" s="191"/>
      <c r="F60" s="191"/>
      <c r="G60" s="121">
        <f>E26*1%</f>
        <v>3822.9680000000008</v>
      </c>
      <c r="H60" s="283"/>
      <c r="I60" s="283"/>
    </row>
    <row r="61" s="67" customFormat="1" ht="15"/>
    <row r="62" spans="1:8" ht="15">
      <c r="A62" s="67" t="s">
        <v>55</v>
      </c>
      <c r="B62" s="67"/>
      <c r="C62" s="67" t="s">
        <v>49</v>
      </c>
      <c r="D62" s="67"/>
      <c r="E62" s="67"/>
      <c r="F62" s="67"/>
      <c r="G62" s="67" t="s">
        <v>90</v>
      </c>
      <c r="H62" s="67"/>
    </row>
    <row r="63" spans="1:8" ht="15">
      <c r="A63" s="67"/>
      <c r="B63" s="67"/>
      <c r="C63" s="67"/>
      <c r="D63" s="67"/>
      <c r="E63" s="67"/>
      <c r="F63" s="67"/>
      <c r="G63" s="127" t="s">
        <v>438</v>
      </c>
      <c r="H63" s="127"/>
    </row>
    <row r="64" spans="1:8" ht="15">
      <c r="A64" s="67" t="s">
        <v>50</v>
      </c>
      <c r="B64" s="67"/>
      <c r="C64" s="67"/>
      <c r="D64" s="67"/>
      <c r="E64" s="67"/>
      <c r="F64" s="67"/>
      <c r="G64" s="67"/>
      <c r="H64" s="67"/>
    </row>
    <row r="65" spans="1:8" ht="15">
      <c r="A65" s="67"/>
      <c r="B65" s="67"/>
      <c r="C65" s="129" t="s">
        <v>51</v>
      </c>
      <c r="D65" s="129"/>
      <c r="E65" s="67"/>
      <c r="F65" s="129"/>
      <c r="G65" s="129"/>
      <c r="H65" s="129"/>
    </row>
  </sheetData>
  <sheetProtection/>
  <mergeCells count="29">
    <mergeCell ref="B48:D48"/>
    <mergeCell ref="B44:D44"/>
    <mergeCell ref="A42:G42"/>
    <mergeCell ref="B53:D53"/>
    <mergeCell ref="A40:B41"/>
    <mergeCell ref="A11:G11"/>
    <mergeCell ref="A12:G12"/>
    <mergeCell ref="B46:D46"/>
    <mergeCell ref="B47:D47"/>
    <mergeCell ref="B45:D45"/>
    <mergeCell ref="A1:G1"/>
    <mergeCell ref="A2:G2"/>
    <mergeCell ref="A3:G3"/>
    <mergeCell ref="A5:G5"/>
    <mergeCell ref="A10:G10"/>
    <mergeCell ref="B54:D54"/>
    <mergeCell ref="A34:F34"/>
    <mergeCell ref="A35:C35"/>
    <mergeCell ref="B49:D49"/>
    <mergeCell ref="A39:B39"/>
    <mergeCell ref="B60:D60"/>
    <mergeCell ref="B50:D50"/>
    <mergeCell ref="B51:D51"/>
    <mergeCell ref="B52:D52"/>
    <mergeCell ref="B57:D57"/>
    <mergeCell ref="B58:D58"/>
    <mergeCell ref="B59:D59"/>
    <mergeCell ref="B55:D55"/>
    <mergeCell ref="B56:D56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8"/>
  <sheetViews>
    <sheetView zoomScalePageLayoutView="0" workbookViewId="0" topLeftCell="A39">
      <selection activeCell="G48" sqref="G48"/>
    </sheetView>
  </sheetViews>
  <sheetFormatPr defaultColWidth="9.140625" defaultRowHeight="15" outlineLevelCol="1"/>
  <cols>
    <col min="1" max="1" width="6.28125" style="35" customWidth="1"/>
    <col min="2" max="2" width="44.140625" style="35" customWidth="1"/>
    <col min="3" max="3" width="13.00390625" style="35" customWidth="1"/>
    <col min="4" max="4" width="16.7109375" style="35" customWidth="1"/>
    <col min="5" max="5" width="12.7109375" style="35" customWidth="1"/>
    <col min="6" max="6" width="15.00390625" style="35" customWidth="1"/>
    <col min="7" max="7" width="14.00390625" style="35" customWidth="1"/>
    <col min="8" max="8" width="10.8515625" style="35" customWidth="1" outlineLevel="1"/>
    <col min="9" max="9" width="13.421875" style="35" customWidth="1" outlineLevel="1"/>
    <col min="10" max="12" width="9.140625" style="35" customWidth="1" outlineLevel="1"/>
    <col min="13" max="13" width="10.00390625" style="232" bestFit="1" customWidth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15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6" s="67" customFormat="1" ht="15">
      <c r="A7" s="67" t="s">
        <v>2</v>
      </c>
      <c r="F7" s="127" t="s">
        <v>136</v>
      </c>
    </row>
    <row r="8" spans="1:10" s="67" customFormat="1" ht="15">
      <c r="A8" s="67" t="s">
        <v>3</v>
      </c>
      <c r="F8" s="295" t="s">
        <v>481</v>
      </c>
      <c r="H8" s="168">
        <v>111.9</v>
      </c>
      <c r="I8" s="233">
        <f>9269.5</f>
        <v>9269.5</v>
      </c>
      <c r="J8" s="211">
        <f>H8+I8</f>
        <v>9381.4</v>
      </c>
    </row>
    <row r="9" s="67" customFormat="1" ht="15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15.75" thickBot="1">
      <c r="A13" s="68"/>
      <c r="B13" s="68"/>
      <c r="C13" s="68"/>
      <c r="D13" s="220"/>
      <c r="E13" s="66"/>
      <c r="F13" s="66"/>
      <c r="G13" s="66"/>
      <c r="H13" s="62"/>
      <c r="I13" s="62"/>
    </row>
    <row r="14" spans="1:9" s="67" customFormat="1" ht="15.75" thickBot="1">
      <c r="A14" s="63" t="s">
        <v>331</v>
      </c>
      <c r="B14" s="64"/>
      <c r="C14" s="64"/>
      <c r="D14" s="69"/>
      <c r="E14" s="70"/>
      <c r="F14" s="70"/>
      <c r="G14" s="65">
        <f>'[1]Солнечный б-р 4'!$G$37</f>
        <v>366798.11309999996</v>
      </c>
      <c r="H14" s="62"/>
      <c r="I14" s="62"/>
    </row>
    <row r="15" s="67" customFormat="1" ht="15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12" s="168" customFormat="1" ht="28.5">
      <c r="A17" s="75" t="s">
        <v>14</v>
      </c>
      <c r="B17" s="41" t="s">
        <v>15</v>
      </c>
      <c r="C17" s="97">
        <f>SUM(C18:C22)</f>
        <v>13.68</v>
      </c>
      <c r="D17" s="76">
        <v>1553085.48</v>
      </c>
      <c r="E17" s="76">
        <v>1485478.89</v>
      </c>
      <c r="F17" s="76">
        <f aca="true" t="shared" si="0" ref="F17:F25">D17</f>
        <v>1553085.48</v>
      </c>
      <c r="G17" s="77">
        <f aca="true" t="shared" si="1" ref="G17:G22">D17-E17</f>
        <v>67606.59000000008</v>
      </c>
      <c r="H17" s="137">
        <f aca="true" t="shared" si="2" ref="H17:H22">C17</f>
        <v>13.68</v>
      </c>
      <c r="L17" s="168">
        <f>D17/12/C17</f>
        <v>9460.803362573099</v>
      </c>
    </row>
    <row r="18" spans="1:9" s="67" customFormat="1" ht="15">
      <c r="A18" s="81" t="s">
        <v>16</v>
      </c>
      <c r="B18" s="34" t="s">
        <v>17</v>
      </c>
      <c r="C18" s="82">
        <v>3.46</v>
      </c>
      <c r="D18" s="83">
        <f>D17*I18</f>
        <v>392812.5556140351</v>
      </c>
      <c r="E18" s="83">
        <f>E17*I18</f>
        <v>375713.2280263158</v>
      </c>
      <c r="F18" s="83">
        <f t="shared" si="0"/>
        <v>392812.5556140351</v>
      </c>
      <c r="G18" s="84">
        <f t="shared" si="1"/>
        <v>17099.32758771931</v>
      </c>
      <c r="H18" s="78">
        <f t="shared" si="2"/>
        <v>3.46</v>
      </c>
      <c r="I18" s="67">
        <f>H18/H17</f>
        <v>0.25292397660818716</v>
      </c>
    </row>
    <row r="19" spans="1:9" s="67" customFormat="1" ht="15">
      <c r="A19" s="81" t="s">
        <v>18</v>
      </c>
      <c r="B19" s="34" t="s">
        <v>19</v>
      </c>
      <c r="C19" s="82">
        <v>1.69</v>
      </c>
      <c r="D19" s="83">
        <f>D17*I19</f>
        <v>191865.09219298244</v>
      </c>
      <c r="E19" s="83">
        <f>E17*I19</f>
        <v>183513.1084868421</v>
      </c>
      <c r="F19" s="83">
        <f t="shared" si="0"/>
        <v>191865.09219298244</v>
      </c>
      <c r="G19" s="84">
        <f t="shared" si="1"/>
        <v>8351.983706140338</v>
      </c>
      <c r="H19" s="78">
        <f t="shared" si="2"/>
        <v>1.69</v>
      </c>
      <c r="I19" s="67">
        <f>H19/H17</f>
        <v>0.12353801169590643</v>
      </c>
    </row>
    <row r="20" spans="1:9" s="67" customFormat="1" ht="15">
      <c r="A20" s="81" t="s">
        <v>20</v>
      </c>
      <c r="B20" s="34" t="s">
        <v>21</v>
      </c>
      <c r="C20" s="82">
        <v>1.99</v>
      </c>
      <c r="D20" s="83">
        <f>D17*I20</f>
        <v>225923.9842982456</v>
      </c>
      <c r="E20" s="83">
        <f>E17*I20</f>
        <v>216089.39993421052</v>
      </c>
      <c r="F20" s="83">
        <f t="shared" si="0"/>
        <v>225923.9842982456</v>
      </c>
      <c r="G20" s="84">
        <f t="shared" si="1"/>
        <v>9834.58436403508</v>
      </c>
      <c r="H20" s="78">
        <f t="shared" si="2"/>
        <v>1.99</v>
      </c>
      <c r="I20" s="67">
        <f>H20/H17</f>
        <v>0.14546783625730994</v>
      </c>
    </row>
    <row r="21" spans="1:9" s="67" customFormat="1" ht="15">
      <c r="A21" s="81" t="s">
        <v>22</v>
      </c>
      <c r="B21" s="34" t="s">
        <v>23</v>
      </c>
      <c r="C21" s="82">
        <v>3.04</v>
      </c>
      <c r="D21" s="83">
        <f>D17*I21</f>
        <v>345130.1066666667</v>
      </c>
      <c r="E21" s="83">
        <f>E17*I21</f>
        <v>330106.42</v>
      </c>
      <c r="F21" s="83">
        <f t="shared" si="0"/>
        <v>345130.1066666667</v>
      </c>
      <c r="G21" s="84">
        <f t="shared" si="1"/>
        <v>15023.686666666705</v>
      </c>
      <c r="H21" s="78">
        <f t="shared" si="2"/>
        <v>3.04</v>
      </c>
      <c r="I21" s="67">
        <f>H21/H17</f>
        <v>0.22222222222222224</v>
      </c>
    </row>
    <row r="22" spans="1:9" s="67" customFormat="1" ht="15">
      <c r="A22" s="81" t="s">
        <v>24</v>
      </c>
      <c r="B22" s="34" t="s">
        <v>144</v>
      </c>
      <c r="C22" s="82">
        <v>3.5</v>
      </c>
      <c r="D22" s="83">
        <f>D17*I22</f>
        <v>397353.74122807017</v>
      </c>
      <c r="E22" s="83">
        <f>E17*I22</f>
        <v>380056.7335526316</v>
      </c>
      <c r="F22" s="83">
        <f>D22</f>
        <v>397353.74122807017</v>
      </c>
      <c r="G22" s="84">
        <f t="shared" si="1"/>
        <v>17297.007675438595</v>
      </c>
      <c r="H22" s="78">
        <f t="shared" si="2"/>
        <v>3.5</v>
      </c>
      <c r="I22" s="67">
        <f>H22/H17</f>
        <v>0.25584795321637427</v>
      </c>
    </row>
    <row r="23" spans="1:13" s="39" customFormat="1" ht="15">
      <c r="A23" s="41" t="s">
        <v>25</v>
      </c>
      <c r="B23" s="41" t="s">
        <v>26</v>
      </c>
      <c r="C23" s="97">
        <v>3.86</v>
      </c>
      <c r="D23" s="77">
        <v>433235.19</v>
      </c>
      <c r="E23" s="77">
        <v>422584.58</v>
      </c>
      <c r="F23" s="76">
        <f t="shared" si="0"/>
        <v>433235.19</v>
      </c>
      <c r="G23" s="77">
        <f aca="true" t="shared" si="3" ref="G23:G33">D23-E23</f>
        <v>10650.609999999986</v>
      </c>
      <c r="M23" s="234"/>
    </row>
    <row r="24" spans="1:13" s="39" customFormat="1" ht="15">
      <c r="A24" s="41" t="s">
        <v>27</v>
      </c>
      <c r="B24" s="41" t="s">
        <v>28</v>
      </c>
      <c r="C24" s="97"/>
      <c r="D24" s="77">
        <v>0</v>
      </c>
      <c r="E24" s="77">
        <v>0</v>
      </c>
      <c r="F24" s="77">
        <f t="shared" si="0"/>
        <v>0</v>
      </c>
      <c r="G24" s="77">
        <f t="shared" si="3"/>
        <v>0</v>
      </c>
      <c r="M24" s="234"/>
    </row>
    <row r="25" spans="1:13" s="39" customFormat="1" ht="15">
      <c r="A25" s="41" t="s">
        <v>29</v>
      </c>
      <c r="B25" s="41" t="s">
        <v>30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  <c r="M25" s="234"/>
    </row>
    <row r="26" spans="1:13" s="39" customFormat="1" ht="15">
      <c r="A26" s="41" t="s">
        <v>31</v>
      </c>
      <c r="B26" s="41" t="s">
        <v>116</v>
      </c>
      <c r="C26" s="97">
        <v>2.06</v>
      </c>
      <c r="D26" s="77">
        <v>231678.61</v>
      </c>
      <c r="E26" s="77">
        <v>225995.95</v>
      </c>
      <c r="F26" s="87">
        <f>G41</f>
        <v>108941.7895</v>
      </c>
      <c r="G26" s="77">
        <f t="shared" si="3"/>
        <v>5682.659999999974</v>
      </c>
      <c r="M26" s="237"/>
    </row>
    <row r="27" spans="1:13" s="39" customFormat="1" ht="15">
      <c r="A27" s="41" t="s">
        <v>33</v>
      </c>
      <c r="B27" s="41" t="s">
        <v>163</v>
      </c>
      <c r="C27" s="46" t="s">
        <v>334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M27" s="234"/>
    </row>
    <row r="28" spans="1:13" s="39" customFormat="1" ht="15">
      <c r="A28" s="41" t="s">
        <v>35</v>
      </c>
      <c r="B28" s="41" t="s">
        <v>36</v>
      </c>
      <c r="C28" s="97">
        <f>SUM(C29:C32)</f>
        <v>0</v>
      </c>
      <c r="D28" s="77">
        <f>SUM(D29:D32)</f>
        <v>5725432.619999999</v>
      </c>
      <c r="E28" s="77">
        <f>SUM(E29:E32)</f>
        <v>5669401.4</v>
      </c>
      <c r="F28" s="77">
        <f>SUM(F29:F32)</f>
        <v>5725432.619999999</v>
      </c>
      <c r="G28" s="77">
        <f t="shared" si="3"/>
        <v>56031.21999999881</v>
      </c>
      <c r="M28" s="234"/>
    </row>
    <row r="29" spans="1:7" ht="15">
      <c r="A29" s="34" t="s">
        <v>37</v>
      </c>
      <c r="B29" s="34" t="s">
        <v>174</v>
      </c>
      <c r="C29" s="297" t="s">
        <v>406</v>
      </c>
      <c r="D29" s="84">
        <v>1466352.44</v>
      </c>
      <c r="E29" s="84">
        <v>1434330.71</v>
      </c>
      <c r="F29" s="84">
        <f>D29</f>
        <v>1466352.44</v>
      </c>
      <c r="G29" s="84">
        <f t="shared" si="3"/>
        <v>32021.72999999998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595561.37</v>
      </c>
      <c r="E30" s="84">
        <v>632702.68</v>
      </c>
      <c r="F30" s="84">
        <f>D30</f>
        <v>595561.37</v>
      </c>
      <c r="G30" s="84">
        <f t="shared" si="3"/>
        <v>-37141.310000000056</v>
      </c>
    </row>
    <row r="31" spans="1:7" ht="15">
      <c r="A31" s="34" t="s">
        <v>42</v>
      </c>
      <c r="B31" s="34" t="s">
        <v>421</v>
      </c>
      <c r="C31" s="290" t="s">
        <v>480</v>
      </c>
      <c r="D31" s="84">
        <v>1127148.24</v>
      </c>
      <c r="E31" s="84">
        <v>1134926.12</v>
      </c>
      <c r="F31" s="84">
        <f>D31</f>
        <v>1127148.24</v>
      </c>
      <c r="G31" s="84">
        <f t="shared" si="3"/>
        <v>-7777.880000000121</v>
      </c>
    </row>
    <row r="32" spans="1:7" ht="15">
      <c r="A32" s="34" t="s">
        <v>41</v>
      </c>
      <c r="B32" s="34" t="s">
        <v>43</v>
      </c>
      <c r="C32" s="290" t="s">
        <v>424</v>
      </c>
      <c r="D32" s="84">
        <v>2536370.57</v>
      </c>
      <c r="E32" s="84">
        <v>2467441.89</v>
      </c>
      <c r="F32" s="84">
        <f>D32</f>
        <v>2536370.57</v>
      </c>
      <c r="G32" s="84">
        <f t="shared" si="3"/>
        <v>68928.6799999997</v>
      </c>
    </row>
    <row r="33" spans="1:13" s="47" customFormat="1" ht="15">
      <c r="A33" s="52" t="s">
        <v>204</v>
      </c>
      <c r="B33" s="333" t="s">
        <v>304</v>
      </c>
      <c r="C33" s="339"/>
      <c r="D33" s="339">
        <f>3000+2400+3600+10800+3000</f>
        <v>22800</v>
      </c>
      <c r="E33" s="339">
        <v>19342</v>
      </c>
      <c r="F33" s="339">
        <v>0</v>
      </c>
      <c r="G33" s="315">
        <f t="shared" si="3"/>
        <v>3458</v>
      </c>
      <c r="M33" s="48"/>
    </row>
    <row r="34" spans="1:10" s="102" customFormat="1" ht="17.25" customHeight="1" thickBot="1">
      <c r="A34" s="379" t="s">
        <v>328</v>
      </c>
      <c r="B34" s="380"/>
      <c r="C34" s="380"/>
      <c r="D34" s="381"/>
      <c r="E34" s="381"/>
      <c r="F34" s="381"/>
      <c r="G34" s="101"/>
      <c r="H34" s="101"/>
      <c r="I34" s="101"/>
      <c r="J34" s="101"/>
    </row>
    <row r="35" spans="1:9" s="67" customFormat="1" ht="15.75" thickBot="1">
      <c r="A35" s="391" t="s">
        <v>410</v>
      </c>
      <c r="B35" s="392"/>
      <c r="C35" s="392"/>
      <c r="D35" s="65">
        <v>1429246.75</v>
      </c>
      <c r="E35" s="66"/>
      <c r="F35" s="66"/>
      <c r="G35" s="66"/>
      <c r="H35" s="62"/>
      <c r="I35" s="62"/>
    </row>
    <row r="36" spans="1:9" s="67" customFormat="1" ht="8.25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13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G14+E26-F26</f>
        <v>483852.2735999999</v>
      </c>
      <c r="H37" s="62"/>
      <c r="I37" s="62"/>
      <c r="M37" s="146"/>
    </row>
    <row r="38" spans="1:9" ht="35.25" customHeight="1">
      <c r="A38" s="463" t="s">
        <v>44</v>
      </c>
      <c r="B38" s="530"/>
      <c r="C38" s="530"/>
      <c r="D38" s="530"/>
      <c r="E38" s="530"/>
      <c r="F38" s="530"/>
      <c r="G38" s="530"/>
      <c r="H38" s="199"/>
      <c r="I38" s="199"/>
    </row>
    <row r="39" ht="9" customHeight="1"/>
    <row r="40" spans="1:9" s="172" customFormat="1" ht="28.5" customHeight="1">
      <c r="A40" s="105" t="s">
        <v>11</v>
      </c>
      <c r="B40" s="535" t="s">
        <v>45</v>
      </c>
      <c r="C40" s="535"/>
      <c r="D40" s="535"/>
      <c r="E40" s="105" t="s">
        <v>165</v>
      </c>
      <c r="F40" s="105" t="s">
        <v>164</v>
      </c>
      <c r="G40" s="105" t="s">
        <v>46</v>
      </c>
      <c r="H40" s="239"/>
      <c r="I40" s="114"/>
    </row>
    <row r="41" spans="1:9" s="115" customFormat="1" ht="15">
      <c r="A41" s="109" t="s">
        <v>47</v>
      </c>
      <c r="B41" s="534" t="s">
        <v>111</v>
      </c>
      <c r="C41" s="534"/>
      <c r="D41" s="534"/>
      <c r="E41" s="173"/>
      <c r="F41" s="173"/>
      <c r="G41" s="112">
        <f>SUM(G42:I53)</f>
        <v>108941.7895</v>
      </c>
      <c r="H41" s="240"/>
      <c r="I41" s="114"/>
    </row>
    <row r="42" spans="1:9" ht="15" customHeight="1">
      <c r="A42" s="34" t="s">
        <v>16</v>
      </c>
      <c r="B42" s="532" t="s">
        <v>620</v>
      </c>
      <c r="C42" s="532"/>
      <c r="D42" s="532"/>
      <c r="E42" s="356" t="s">
        <v>230</v>
      </c>
      <c r="F42" s="356">
        <v>0.02</v>
      </c>
      <c r="G42" s="348">
        <v>692.01</v>
      </c>
      <c r="H42" s="181"/>
      <c r="I42" s="181"/>
    </row>
    <row r="43" spans="1:9" ht="15" customHeight="1">
      <c r="A43" s="34" t="s">
        <v>18</v>
      </c>
      <c r="B43" s="533" t="s">
        <v>738</v>
      </c>
      <c r="C43" s="533"/>
      <c r="D43" s="533"/>
      <c r="E43" s="152"/>
      <c r="F43" s="152"/>
      <c r="G43" s="121">
        <v>2780.7</v>
      </c>
      <c r="H43" s="181"/>
      <c r="I43" s="181"/>
    </row>
    <row r="44" spans="1:9" ht="15" customHeight="1">
      <c r="A44" s="34" t="s">
        <v>20</v>
      </c>
      <c r="B44" s="533" t="s">
        <v>787</v>
      </c>
      <c r="C44" s="533"/>
      <c r="D44" s="533"/>
      <c r="E44" s="152"/>
      <c r="F44" s="152"/>
      <c r="G44" s="375">
        <v>12465.5</v>
      </c>
      <c r="H44" s="181"/>
      <c r="I44" s="181"/>
    </row>
    <row r="45" spans="1:9" ht="15" customHeight="1">
      <c r="A45" s="34" t="s">
        <v>22</v>
      </c>
      <c r="B45" s="533" t="s">
        <v>788</v>
      </c>
      <c r="C45" s="533"/>
      <c r="D45" s="533"/>
      <c r="E45" s="152"/>
      <c r="F45" s="152"/>
      <c r="G45" s="375">
        <v>13250.34</v>
      </c>
      <c r="H45" s="181"/>
      <c r="I45" s="181"/>
    </row>
    <row r="46" spans="1:9" ht="15" customHeight="1">
      <c r="A46" s="34" t="s">
        <v>24</v>
      </c>
      <c r="B46" s="533" t="s">
        <v>789</v>
      </c>
      <c r="C46" s="533"/>
      <c r="D46" s="533"/>
      <c r="E46" s="152"/>
      <c r="F46" s="152"/>
      <c r="G46" s="375">
        <v>11244.49</v>
      </c>
      <c r="H46" s="181"/>
      <c r="I46" s="181"/>
    </row>
    <row r="47" spans="1:9" ht="15" customHeight="1">
      <c r="A47" s="34" t="s">
        <v>103</v>
      </c>
      <c r="B47" s="533" t="s">
        <v>790</v>
      </c>
      <c r="C47" s="533"/>
      <c r="D47" s="533"/>
      <c r="E47" s="152"/>
      <c r="F47" s="152"/>
      <c r="G47" s="375">
        <v>22488.32</v>
      </c>
      <c r="H47" s="181"/>
      <c r="I47" s="181"/>
    </row>
    <row r="48" spans="1:9" ht="15" customHeight="1">
      <c r="A48" s="34" t="s">
        <v>104</v>
      </c>
      <c r="B48" s="533" t="s">
        <v>791</v>
      </c>
      <c r="C48" s="533"/>
      <c r="D48" s="533"/>
      <c r="E48" s="152"/>
      <c r="F48" s="152"/>
      <c r="G48" s="375">
        <v>7027.47</v>
      </c>
      <c r="H48" s="181"/>
      <c r="I48" s="181"/>
    </row>
    <row r="49" spans="1:9" ht="15" customHeight="1">
      <c r="A49" s="34" t="s">
        <v>117</v>
      </c>
      <c r="B49" s="533" t="s">
        <v>741</v>
      </c>
      <c r="C49" s="533"/>
      <c r="D49" s="533"/>
      <c r="E49" s="152"/>
      <c r="F49" s="152"/>
      <c r="G49" s="121">
        <v>14400</v>
      </c>
      <c r="H49" s="181"/>
      <c r="I49" s="181"/>
    </row>
    <row r="50" spans="1:9" ht="15">
      <c r="A50" s="34" t="s">
        <v>118</v>
      </c>
      <c r="B50" s="533" t="s">
        <v>740</v>
      </c>
      <c r="C50" s="533"/>
      <c r="D50" s="533"/>
      <c r="E50" s="152"/>
      <c r="F50" s="152"/>
      <c r="G50" s="121">
        <v>1333</v>
      </c>
      <c r="H50" s="181"/>
      <c r="I50" s="181"/>
    </row>
    <row r="51" spans="1:9" ht="15" customHeight="1">
      <c r="A51" s="34" t="s">
        <v>119</v>
      </c>
      <c r="B51" s="533" t="s">
        <v>742</v>
      </c>
      <c r="C51" s="533"/>
      <c r="D51" s="533"/>
      <c r="E51" s="152"/>
      <c r="F51" s="152"/>
      <c r="G51" s="121">
        <v>21000</v>
      </c>
      <c r="H51" s="181"/>
      <c r="I51" s="181"/>
    </row>
    <row r="52" spans="1:9" ht="15" customHeight="1">
      <c r="A52" s="34" t="s">
        <v>140</v>
      </c>
      <c r="B52" s="533"/>
      <c r="C52" s="533"/>
      <c r="D52" s="533"/>
      <c r="E52" s="152"/>
      <c r="F52" s="152"/>
      <c r="G52" s="121"/>
      <c r="H52" s="181"/>
      <c r="I52" s="181"/>
    </row>
    <row r="53" spans="1:9" s="67" customFormat="1" ht="15">
      <c r="A53" s="34" t="s">
        <v>142</v>
      </c>
      <c r="B53" s="531" t="s">
        <v>191</v>
      </c>
      <c r="C53" s="531"/>
      <c r="D53" s="531"/>
      <c r="E53" s="191"/>
      <c r="F53" s="191"/>
      <c r="G53" s="121">
        <f>E26*1%</f>
        <v>2259.9595000000004</v>
      </c>
      <c r="H53" s="181"/>
      <c r="I53" s="181"/>
    </row>
    <row r="54" s="67" customFormat="1" ht="15"/>
    <row r="55" spans="1:7" s="67" customFormat="1" ht="15">
      <c r="A55" s="67" t="s">
        <v>55</v>
      </c>
      <c r="C55" s="67" t="s">
        <v>49</v>
      </c>
      <c r="G55" s="67" t="s">
        <v>90</v>
      </c>
    </row>
    <row r="56" spans="1:8" ht="15">
      <c r="A56" s="67"/>
      <c r="B56" s="67"/>
      <c r="C56" s="67"/>
      <c r="D56" s="67"/>
      <c r="E56" s="67"/>
      <c r="F56" s="67"/>
      <c r="G56" s="127" t="s">
        <v>438</v>
      </c>
      <c r="H56" s="127"/>
    </row>
    <row r="57" spans="1:8" ht="15">
      <c r="A57" s="67" t="s">
        <v>50</v>
      </c>
      <c r="B57" s="67"/>
      <c r="C57" s="67"/>
      <c r="D57" s="67"/>
      <c r="E57" s="67"/>
      <c r="F57" s="67"/>
      <c r="G57" s="67"/>
      <c r="H57" s="67"/>
    </row>
    <row r="58" spans="1:8" ht="15">
      <c r="A58" s="67"/>
      <c r="B58" s="67"/>
      <c r="C58" s="129" t="s">
        <v>51</v>
      </c>
      <c r="D58" s="129"/>
      <c r="E58" s="67"/>
      <c r="F58" s="129"/>
      <c r="G58" s="129"/>
      <c r="H58" s="129"/>
    </row>
  </sheetData>
  <sheetProtection/>
  <mergeCells count="24">
    <mergeCell ref="B47:D47"/>
    <mergeCell ref="B48:D48"/>
    <mergeCell ref="A1:I1"/>
    <mergeCell ref="A2:I2"/>
    <mergeCell ref="A3:K3"/>
    <mergeCell ref="A5:I5"/>
    <mergeCell ref="A10:I10"/>
    <mergeCell ref="B45:D45"/>
    <mergeCell ref="A12:I12"/>
    <mergeCell ref="A35:C35"/>
    <mergeCell ref="B40:D40"/>
    <mergeCell ref="A38:G38"/>
    <mergeCell ref="A34:F34"/>
    <mergeCell ref="A11:I11"/>
    <mergeCell ref="B53:D53"/>
    <mergeCell ref="B51:D51"/>
    <mergeCell ref="B41:D41"/>
    <mergeCell ref="B42:D42"/>
    <mergeCell ref="B43:D43"/>
    <mergeCell ref="B44:D44"/>
    <mergeCell ref="B49:D49"/>
    <mergeCell ref="B50:D50"/>
    <mergeCell ref="B52:D52"/>
    <mergeCell ref="B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38">
      <selection activeCell="F46" sqref="F46:G46"/>
    </sheetView>
  </sheetViews>
  <sheetFormatPr defaultColWidth="9.140625" defaultRowHeight="15" outlineLevelCol="1"/>
  <cols>
    <col min="1" max="1" width="5.00390625" style="35" customWidth="1"/>
    <col min="2" max="2" width="49.57421875" style="35" customWidth="1"/>
    <col min="3" max="3" width="15.8515625" style="35" customWidth="1"/>
    <col min="4" max="5" width="12.7109375" style="35" customWidth="1"/>
    <col min="6" max="6" width="15.00390625" style="35" customWidth="1"/>
    <col min="7" max="7" width="16.140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232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15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6" s="67" customFormat="1" ht="15">
      <c r="A7" s="67" t="s">
        <v>2</v>
      </c>
      <c r="F7" s="127" t="s">
        <v>482</v>
      </c>
    </row>
    <row r="8" spans="1:10" s="67" customFormat="1" ht="15">
      <c r="A8" s="67" t="s">
        <v>3</v>
      </c>
      <c r="F8" s="295" t="s">
        <v>483</v>
      </c>
      <c r="I8" s="202">
        <v>2277.06</v>
      </c>
      <c r="J8" s="202">
        <f>106.3+127.1</f>
        <v>233.39999999999998</v>
      </c>
    </row>
    <row r="9" s="67" customFormat="1" ht="15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15.75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65">
        <f>'[1]Солнечный б-р 4-1'!$G$38</f>
        <v>-2074.5399999999995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'[1]Солнечный б-р 4-1'!$G$39</f>
        <v>132425.8577</v>
      </c>
      <c r="H15" s="62"/>
      <c r="I15" s="62"/>
    </row>
    <row r="16" s="67" customFormat="1" ht="15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14.25">
      <c r="A18" s="75" t="s">
        <v>14</v>
      </c>
      <c r="B18" s="41" t="s">
        <v>15</v>
      </c>
      <c r="C18" s="97">
        <f>SUM(C19:C23)</f>
        <v>13.84</v>
      </c>
      <c r="D18" s="76">
        <v>429834.37</v>
      </c>
      <c r="E18" s="76">
        <v>413386.92</v>
      </c>
      <c r="F18" s="76">
        <f aca="true" t="shared" si="0" ref="F18:F26">D18</f>
        <v>429834.37</v>
      </c>
      <c r="G18" s="77">
        <f aca="true" t="shared" si="1" ref="G18:G23">D18-E18</f>
        <v>16447.45000000001</v>
      </c>
      <c r="H18" s="78">
        <f aca="true" t="shared" si="2" ref="H18:H23">C18</f>
        <v>13.84</v>
      </c>
    </row>
    <row r="19" spans="1:9" s="67" customFormat="1" ht="15">
      <c r="A19" s="81" t="s">
        <v>16</v>
      </c>
      <c r="B19" s="34" t="s">
        <v>17</v>
      </c>
      <c r="C19" s="82">
        <v>3.46</v>
      </c>
      <c r="D19" s="83">
        <f>D18*I19</f>
        <v>107458.5925</v>
      </c>
      <c r="E19" s="83">
        <f>E18*I19</f>
        <v>103346.73</v>
      </c>
      <c r="F19" s="83">
        <f t="shared" si="0"/>
        <v>107458.5925</v>
      </c>
      <c r="G19" s="84">
        <f t="shared" si="1"/>
        <v>4111.862500000003</v>
      </c>
      <c r="H19" s="78">
        <f t="shared" si="2"/>
        <v>3.46</v>
      </c>
      <c r="I19" s="67">
        <f>H19/H18</f>
        <v>0.25</v>
      </c>
    </row>
    <row r="20" spans="1:9" s="67" customFormat="1" ht="15">
      <c r="A20" s="81" t="s">
        <v>18</v>
      </c>
      <c r="B20" s="34" t="s">
        <v>19</v>
      </c>
      <c r="C20" s="85">
        <v>1.69</v>
      </c>
      <c r="D20" s="83">
        <f>D18*I20</f>
        <v>52487.000382947976</v>
      </c>
      <c r="E20" s="83">
        <f>E18*I20</f>
        <v>50478.60511560694</v>
      </c>
      <c r="F20" s="83">
        <f t="shared" si="0"/>
        <v>52487.000382947976</v>
      </c>
      <c r="G20" s="84">
        <f t="shared" si="1"/>
        <v>2008.3952673410386</v>
      </c>
      <c r="H20" s="78">
        <f t="shared" si="2"/>
        <v>1.69</v>
      </c>
      <c r="I20" s="67">
        <f>H20/H18</f>
        <v>0.12210982658959538</v>
      </c>
    </row>
    <row r="21" spans="1:9" s="67" customFormat="1" ht="15">
      <c r="A21" s="81" t="s">
        <v>20</v>
      </c>
      <c r="B21" s="34" t="s">
        <v>21</v>
      </c>
      <c r="C21" s="82">
        <v>2.15</v>
      </c>
      <c r="D21" s="83">
        <f>D18*I21</f>
        <v>66773.40285404625</v>
      </c>
      <c r="E21" s="83">
        <f>E18*I21</f>
        <v>64218.34378612717</v>
      </c>
      <c r="F21" s="83">
        <f t="shared" si="0"/>
        <v>66773.40285404625</v>
      </c>
      <c r="G21" s="84">
        <f t="shared" si="1"/>
        <v>2555.059067919079</v>
      </c>
      <c r="H21" s="78">
        <f t="shared" si="2"/>
        <v>2.15</v>
      </c>
      <c r="I21" s="67">
        <f>H21/H18</f>
        <v>0.15534682080924855</v>
      </c>
    </row>
    <row r="22" spans="1:9" s="67" customFormat="1" ht="15">
      <c r="A22" s="81" t="s">
        <v>22</v>
      </c>
      <c r="B22" s="34" t="s">
        <v>23</v>
      </c>
      <c r="C22" s="82">
        <v>3.04</v>
      </c>
      <c r="D22" s="83">
        <f>D18*I22</f>
        <v>94414.48589595375</v>
      </c>
      <c r="E22" s="83">
        <f>E18*I22</f>
        <v>90801.75121387283</v>
      </c>
      <c r="F22" s="83">
        <f t="shared" si="0"/>
        <v>94414.48589595375</v>
      </c>
      <c r="G22" s="84">
        <f t="shared" si="1"/>
        <v>3612.734682080918</v>
      </c>
      <c r="H22" s="78">
        <f t="shared" si="2"/>
        <v>3.04</v>
      </c>
      <c r="I22" s="67">
        <f>H22/H18</f>
        <v>0.21965317919075145</v>
      </c>
    </row>
    <row r="23" spans="1:9" s="67" customFormat="1" ht="15">
      <c r="A23" s="81" t="s">
        <v>24</v>
      </c>
      <c r="B23" s="34" t="s">
        <v>232</v>
      </c>
      <c r="C23" s="82">
        <v>3.5</v>
      </c>
      <c r="D23" s="83">
        <f>D18*I23</f>
        <v>108700.88836705203</v>
      </c>
      <c r="E23" s="83">
        <f>E18*I23</f>
        <v>104541.48988439307</v>
      </c>
      <c r="F23" s="83">
        <f>D23</f>
        <v>108700.88836705203</v>
      </c>
      <c r="G23" s="84">
        <f t="shared" si="1"/>
        <v>4159.3984826589585</v>
      </c>
      <c r="H23" s="78">
        <f t="shared" si="2"/>
        <v>3.5</v>
      </c>
      <c r="I23" s="67">
        <f>H23/H18</f>
        <v>0.25289017341040465</v>
      </c>
    </row>
    <row r="24" spans="1:13" s="39" customFormat="1" ht="15">
      <c r="A24" s="41" t="s">
        <v>25</v>
      </c>
      <c r="B24" s="41" t="s">
        <v>26</v>
      </c>
      <c r="C24" s="97">
        <v>3.86</v>
      </c>
      <c r="D24" s="77">
        <v>110255.99</v>
      </c>
      <c r="E24" s="77">
        <v>109283.73</v>
      </c>
      <c r="F24" s="76">
        <f t="shared" si="0"/>
        <v>110255.99</v>
      </c>
      <c r="G24" s="77">
        <f aca="true" t="shared" si="3" ref="G24:G34">D24-E24</f>
        <v>972.2600000000093</v>
      </c>
      <c r="M24" s="234"/>
    </row>
    <row r="25" spans="1:13" s="39" customFormat="1" ht="15">
      <c r="A25" s="41" t="s">
        <v>27</v>
      </c>
      <c r="B25" s="41" t="s">
        <v>163</v>
      </c>
      <c r="C25" s="97" t="s">
        <v>334</v>
      </c>
      <c r="D25" s="77">
        <v>0</v>
      </c>
      <c r="E25" s="77">
        <v>0</v>
      </c>
      <c r="F25" s="77">
        <f t="shared" si="0"/>
        <v>0</v>
      </c>
      <c r="G25" s="77">
        <f t="shared" si="3"/>
        <v>0</v>
      </c>
      <c r="M25" s="234"/>
    </row>
    <row r="26" spans="1:13" s="39" customFormat="1" ht="15">
      <c r="A26" s="41" t="s">
        <v>29</v>
      </c>
      <c r="B26" s="41" t="s">
        <v>30</v>
      </c>
      <c r="C26" s="97">
        <v>0</v>
      </c>
      <c r="D26" s="77">
        <v>0</v>
      </c>
      <c r="E26" s="77">
        <v>0</v>
      </c>
      <c r="F26" s="77">
        <f t="shared" si="0"/>
        <v>0</v>
      </c>
      <c r="G26" s="77">
        <f t="shared" si="3"/>
        <v>0</v>
      </c>
      <c r="M26" s="234"/>
    </row>
    <row r="27" spans="1:13" s="39" customFormat="1" ht="15">
      <c r="A27" s="41" t="s">
        <v>31</v>
      </c>
      <c r="B27" s="41" t="s">
        <v>116</v>
      </c>
      <c r="C27" s="97">
        <v>2.06</v>
      </c>
      <c r="D27" s="77">
        <v>61796.17</v>
      </c>
      <c r="E27" s="77">
        <v>61278.22</v>
      </c>
      <c r="F27" s="87">
        <f>F43</f>
        <v>8261.7822</v>
      </c>
      <c r="G27" s="77">
        <f t="shared" si="3"/>
        <v>517.9499999999971</v>
      </c>
      <c r="M27" s="234"/>
    </row>
    <row r="28" spans="1:13" s="39" customFormat="1" ht="15">
      <c r="A28" s="41" t="s">
        <v>33</v>
      </c>
      <c r="B28" s="41" t="s">
        <v>34</v>
      </c>
      <c r="C28" s="46"/>
      <c r="D28" s="77">
        <v>0</v>
      </c>
      <c r="E28" s="77">
        <v>368.57</v>
      </c>
      <c r="F28" s="87">
        <v>0</v>
      </c>
      <c r="G28" s="77">
        <f t="shared" si="3"/>
        <v>-368.57</v>
      </c>
      <c r="M28" s="234"/>
    </row>
    <row r="29" spans="1:13" s="39" customFormat="1" ht="15">
      <c r="A29" s="41" t="s">
        <v>35</v>
      </c>
      <c r="B29" s="41" t="s">
        <v>271</v>
      </c>
      <c r="C29" s="46">
        <v>60</v>
      </c>
      <c r="D29" s="77">
        <v>33120</v>
      </c>
      <c r="E29" s="77">
        <v>32571.8</v>
      </c>
      <c r="F29" s="87">
        <f>D29</f>
        <v>33120</v>
      </c>
      <c r="G29" s="77">
        <f t="shared" si="3"/>
        <v>548.2000000000007</v>
      </c>
      <c r="M29" s="234"/>
    </row>
    <row r="30" spans="1:13" s="39" customFormat="1" ht="15">
      <c r="A30" s="41" t="s">
        <v>204</v>
      </c>
      <c r="B30" s="41" t="s">
        <v>36</v>
      </c>
      <c r="C30" s="97">
        <f>SUM(C31:C34)</f>
        <v>0</v>
      </c>
      <c r="D30" s="77">
        <f>SUM(D31:D34)</f>
        <v>1516784.08</v>
      </c>
      <c r="E30" s="77">
        <f>SUM(E31:E34)</f>
        <v>1521896.37</v>
      </c>
      <c r="F30" s="77">
        <f>SUM(F31:F34)</f>
        <v>1516784.08</v>
      </c>
      <c r="G30" s="77">
        <f t="shared" si="3"/>
        <v>-5112.290000000037</v>
      </c>
      <c r="M30" s="234"/>
    </row>
    <row r="31" spans="1:7" ht="15">
      <c r="A31" s="34" t="s">
        <v>206</v>
      </c>
      <c r="B31" s="34" t="s">
        <v>174</v>
      </c>
      <c r="C31" s="297" t="s">
        <v>406</v>
      </c>
      <c r="D31" s="84">
        <v>454940.27</v>
      </c>
      <c r="E31" s="84">
        <v>451364.77</v>
      </c>
      <c r="F31" s="84">
        <f>D31</f>
        <v>454940.27</v>
      </c>
      <c r="G31" s="84">
        <f t="shared" si="3"/>
        <v>3575.5</v>
      </c>
    </row>
    <row r="32" spans="1:7" ht="15">
      <c r="A32" s="34" t="s">
        <v>207</v>
      </c>
      <c r="B32" s="34" t="s">
        <v>138</v>
      </c>
      <c r="C32" s="289" t="s">
        <v>409</v>
      </c>
      <c r="D32" s="84">
        <v>158253.45</v>
      </c>
      <c r="E32" s="84">
        <v>160459.88</v>
      </c>
      <c r="F32" s="84">
        <f>D32</f>
        <v>158253.45</v>
      </c>
      <c r="G32" s="84">
        <f t="shared" si="3"/>
        <v>-2206.429999999993</v>
      </c>
    </row>
    <row r="33" spans="1:13" ht="15">
      <c r="A33" s="34" t="s">
        <v>208</v>
      </c>
      <c r="B33" s="34" t="s">
        <v>421</v>
      </c>
      <c r="C33" s="290" t="s">
        <v>480</v>
      </c>
      <c r="D33" s="84">
        <v>242095.02</v>
      </c>
      <c r="E33" s="84">
        <v>244423.89</v>
      </c>
      <c r="F33" s="84">
        <f>D33</f>
        <v>242095.02</v>
      </c>
      <c r="G33" s="84">
        <f t="shared" si="3"/>
        <v>-2328.8700000000244</v>
      </c>
      <c r="M33" s="36"/>
    </row>
    <row r="34" spans="1:13" ht="15">
      <c r="A34" s="34" t="s">
        <v>209</v>
      </c>
      <c r="B34" s="34" t="s">
        <v>43</v>
      </c>
      <c r="C34" s="290" t="s">
        <v>424</v>
      </c>
      <c r="D34" s="84">
        <v>661495.34</v>
      </c>
      <c r="E34" s="84">
        <v>665647.83</v>
      </c>
      <c r="F34" s="84">
        <f>D34</f>
        <v>661495.34</v>
      </c>
      <c r="G34" s="84">
        <f t="shared" si="3"/>
        <v>-4152.489999999991</v>
      </c>
      <c r="M34" s="36"/>
    </row>
    <row r="35" spans="1:13" ht="15.75" thickBot="1">
      <c r="A35" s="379" t="s">
        <v>328</v>
      </c>
      <c r="B35" s="380"/>
      <c r="C35" s="380"/>
      <c r="D35" s="381"/>
      <c r="E35" s="381"/>
      <c r="F35" s="381"/>
      <c r="G35" s="171"/>
      <c r="M35" s="36"/>
    </row>
    <row r="36" spans="1:9" s="67" customFormat="1" ht="15.75" thickBot="1">
      <c r="A36" s="391" t="s">
        <v>410</v>
      </c>
      <c r="B36" s="392"/>
      <c r="C36" s="392"/>
      <c r="D36" s="65">
        <v>793324.62</v>
      </c>
      <c r="E36" s="66"/>
      <c r="F36" s="66"/>
      <c r="G36" s="66"/>
      <c r="H36" s="62"/>
      <c r="I36" s="62"/>
    </row>
    <row r="37" spans="1:9" s="67" customFormat="1" ht="9.75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13" s="67" customFormat="1" ht="15.75" thickBot="1">
      <c r="A38" s="63" t="s">
        <v>412</v>
      </c>
      <c r="B38" s="64"/>
      <c r="C38" s="64"/>
      <c r="D38" s="69"/>
      <c r="E38" s="70"/>
      <c r="F38" s="70"/>
      <c r="G38" s="145">
        <f>G14+E28-F28</f>
        <v>-1705.9699999999996</v>
      </c>
      <c r="H38" s="62"/>
      <c r="I38" s="62"/>
      <c r="M38" s="146"/>
    </row>
    <row r="39" spans="1:13" s="67" customFormat="1" ht="15.75" thickBot="1">
      <c r="A39" s="63" t="s">
        <v>413</v>
      </c>
      <c r="B39" s="64"/>
      <c r="C39" s="64"/>
      <c r="D39" s="69"/>
      <c r="E39" s="70"/>
      <c r="F39" s="70"/>
      <c r="G39" s="145">
        <f>G15+E27-F27</f>
        <v>185442.2955</v>
      </c>
      <c r="H39" s="62"/>
      <c r="I39" s="62"/>
      <c r="M39" s="146"/>
    </row>
    <row r="40" spans="1:9" ht="35.25" customHeight="1">
      <c r="A40" s="463" t="s">
        <v>44</v>
      </c>
      <c r="B40" s="463"/>
      <c r="C40" s="463"/>
      <c r="D40" s="463"/>
      <c r="E40" s="463"/>
      <c r="F40" s="463"/>
      <c r="G40" s="463"/>
      <c r="H40" s="463"/>
      <c r="I40" s="463"/>
    </row>
    <row r="42" spans="1:7" s="172" customFormat="1" ht="28.5" customHeight="1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</row>
    <row r="43" spans="1:7" s="115" customFormat="1" ht="15">
      <c r="A43" s="109" t="s">
        <v>47</v>
      </c>
      <c r="B43" s="403" t="s">
        <v>111</v>
      </c>
      <c r="C43" s="425"/>
      <c r="D43" s="111"/>
      <c r="E43" s="111"/>
      <c r="F43" s="430">
        <f>SUM(F44:L47)</f>
        <v>8261.7822</v>
      </c>
      <c r="G43" s="419"/>
    </row>
    <row r="44" spans="1:13" ht="15" customHeight="1">
      <c r="A44" s="34" t="s">
        <v>16</v>
      </c>
      <c r="B44" s="413" t="s">
        <v>619</v>
      </c>
      <c r="C44" s="423"/>
      <c r="D44" s="349" t="s">
        <v>166</v>
      </c>
      <c r="E44" s="349">
        <v>1</v>
      </c>
      <c r="F44" s="451">
        <v>4982</v>
      </c>
      <c r="G44" s="452"/>
      <c r="M44" s="35"/>
    </row>
    <row r="45" spans="1:13" ht="15" customHeight="1">
      <c r="A45" s="34" t="s">
        <v>18</v>
      </c>
      <c r="B45" s="533" t="s">
        <v>740</v>
      </c>
      <c r="C45" s="533"/>
      <c r="D45" s="533"/>
      <c r="E45" s="119"/>
      <c r="F45" s="429">
        <v>2667</v>
      </c>
      <c r="G45" s="429"/>
      <c r="M45" s="35"/>
    </row>
    <row r="46" spans="1:13" ht="15" customHeight="1">
      <c r="A46" s="34" t="s">
        <v>20</v>
      </c>
      <c r="B46" s="382"/>
      <c r="C46" s="384"/>
      <c r="D46" s="119"/>
      <c r="E46" s="119"/>
      <c r="F46" s="429"/>
      <c r="G46" s="429"/>
      <c r="M46" s="35"/>
    </row>
    <row r="47" spans="1:13" ht="15">
      <c r="A47" s="34" t="s">
        <v>22</v>
      </c>
      <c r="B47" s="149" t="s">
        <v>191</v>
      </c>
      <c r="C47" s="150"/>
      <c r="D47" s="119"/>
      <c r="E47" s="119"/>
      <c r="F47" s="429">
        <f>E27*1%</f>
        <v>612.7822</v>
      </c>
      <c r="G47" s="429"/>
      <c r="M47" s="35"/>
    </row>
    <row r="48" spans="1:13" ht="15">
      <c r="A48" s="67"/>
      <c r="B48" s="67"/>
      <c r="C48" s="67"/>
      <c r="D48" s="67"/>
      <c r="E48" s="67"/>
      <c r="F48" s="67"/>
      <c r="G48" s="67"/>
      <c r="M48" s="35"/>
    </row>
    <row r="49" spans="1:13" ht="15">
      <c r="A49" s="67" t="s">
        <v>55</v>
      </c>
      <c r="B49" s="67"/>
      <c r="C49" s="67" t="s">
        <v>49</v>
      </c>
      <c r="D49" s="67"/>
      <c r="E49" s="67"/>
      <c r="F49" s="67" t="s">
        <v>90</v>
      </c>
      <c r="G49" s="67"/>
      <c r="M49" s="35"/>
    </row>
    <row r="50" spans="1:13" ht="15">
      <c r="A50" s="67"/>
      <c r="B50" s="67"/>
      <c r="C50" s="67"/>
      <c r="D50" s="67"/>
      <c r="E50" s="67"/>
      <c r="F50" s="127" t="s">
        <v>438</v>
      </c>
      <c r="G50" s="67"/>
      <c r="M50" s="35"/>
    </row>
    <row r="51" s="67" customFormat="1" ht="15">
      <c r="A51" s="67" t="s">
        <v>50</v>
      </c>
    </row>
    <row r="52" spans="3:7" s="67" customFormat="1" ht="15">
      <c r="C52" s="129" t="s">
        <v>51</v>
      </c>
      <c r="E52" s="129"/>
      <c r="F52" s="129"/>
      <c r="G52" s="129"/>
    </row>
    <row r="53" s="67" customFormat="1" ht="15"/>
    <row r="54" s="67" customFormat="1" ht="15"/>
  </sheetData>
  <sheetProtection/>
  <mergeCells count="21">
    <mergeCell ref="A11:I11"/>
    <mergeCell ref="A1:I1"/>
    <mergeCell ref="A2:I2"/>
    <mergeCell ref="A3:K3"/>
    <mergeCell ref="A5:I5"/>
    <mergeCell ref="A10:I10"/>
    <mergeCell ref="A12:I12"/>
    <mergeCell ref="A36:C36"/>
    <mergeCell ref="A40:I40"/>
    <mergeCell ref="F42:G42"/>
    <mergeCell ref="B42:C42"/>
    <mergeCell ref="A35:F35"/>
    <mergeCell ref="F47:G47"/>
    <mergeCell ref="F44:G44"/>
    <mergeCell ref="F45:G45"/>
    <mergeCell ref="B44:C44"/>
    <mergeCell ref="F43:G43"/>
    <mergeCell ref="B46:C46"/>
    <mergeCell ref="B43:C43"/>
    <mergeCell ref="F46:G46"/>
    <mergeCell ref="B45:D45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zoomScalePageLayoutView="0" workbookViewId="0" topLeftCell="A42">
      <selection activeCell="A50" sqref="A50"/>
    </sheetView>
  </sheetViews>
  <sheetFormatPr defaultColWidth="9.140625" defaultRowHeight="15" outlineLevelCol="1"/>
  <cols>
    <col min="1" max="1" width="5.00390625" style="35" customWidth="1"/>
    <col min="2" max="2" width="48.28125" style="35" customWidth="1"/>
    <col min="3" max="5" width="12.7109375" style="35" customWidth="1"/>
    <col min="6" max="6" width="15.00390625" style="35" customWidth="1"/>
    <col min="7" max="7" width="17.00390625" style="35" customWidth="1"/>
    <col min="8" max="8" width="10.8515625" style="35" hidden="1" customWidth="1" outlineLevel="1"/>
    <col min="9" max="9" width="13.421875" style="35" hidden="1" customWidth="1" outlineLevel="1"/>
    <col min="10" max="11" width="9.140625" style="35" hidden="1" customWidth="1" outlineLevel="1"/>
    <col min="12" max="12" width="0.42578125" style="35" hidden="1" customWidth="1" outlineLevel="1"/>
    <col min="13" max="13" width="9.7109375" style="232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15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6" s="67" customFormat="1" ht="15">
      <c r="A7" s="67" t="s">
        <v>2</v>
      </c>
      <c r="F7" s="127" t="s">
        <v>484</v>
      </c>
    </row>
    <row r="8" spans="1:11" s="67" customFormat="1" ht="15">
      <c r="A8" s="67" t="s">
        <v>3</v>
      </c>
      <c r="F8" s="295" t="s">
        <v>348</v>
      </c>
      <c r="I8" s="311">
        <f>J8+K8</f>
        <v>5660.5</v>
      </c>
      <c r="J8" s="311">
        <v>126.8</v>
      </c>
      <c r="K8" s="311">
        <v>5533.7</v>
      </c>
    </row>
    <row r="9" s="67" customFormat="1" ht="15">
      <c r="J9" s="311">
        <v>101</v>
      </c>
    </row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15.75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331</v>
      </c>
      <c r="B14" s="64"/>
      <c r="C14" s="64"/>
      <c r="D14" s="69"/>
      <c r="E14" s="70"/>
      <c r="F14" s="70"/>
      <c r="G14" s="65">
        <f>'[1]Солнечный б-р 4-2'!$G$36</f>
        <v>-193883.49210000003</v>
      </c>
      <c r="H14" s="62"/>
      <c r="I14" s="62"/>
    </row>
    <row r="15" s="67" customFormat="1" ht="15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8" s="168" customFormat="1" ht="14.25">
      <c r="A17" s="75" t="s">
        <v>14</v>
      </c>
      <c r="B17" s="41" t="s">
        <v>15</v>
      </c>
      <c r="C17" s="97">
        <f>SUM(C18:C22)</f>
        <v>13.84</v>
      </c>
      <c r="D17" s="76">
        <v>954556.32</v>
      </c>
      <c r="E17" s="76">
        <v>977621.11</v>
      </c>
      <c r="F17" s="76">
        <f aca="true" t="shared" si="0" ref="F17:F25">D17</f>
        <v>954556.32</v>
      </c>
      <c r="G17" s="77">
        <f aca="true" t="shared" si="1" ref="G17:G22">D17-E17</f>
        <v>-23064.790000000037</v>
      </c>
      <c r="H17" s="137">
        <f>C17</f>
        <v>13.84</v>
      </c>
    </row>
    <row r="18" spans="1:9" s="67" customFormat="1" ht="15">
      <c r="A18" s="81" t="s">
        <v>16</v>
      </c>
      <c r="B18" s="34" t="s">
        <v>17</v>
      </c>
      <c r="C18" s="82">
        <v>3.46</v>
      </c>
      <c r="D18" s="83">
        <f>D17*I18</f>
        <v>238639.08</v>
      </c>
      <c r="E18" s="83">
        <f>E17*I18</f>
        <v>244405.2775</v>
      </c>
      <c r="F18" s="83">
        <f t="shared" si="0"/>
        <v>238639.08</v>
      </c>
      <c r="G18" s="84">
        <f t="shared" si="1"/>
        <v>-5766.197500000009</v>
      </c>
      <c r="H18" s="78">
        <f>C18</f>
        <v>3.46</v>
      </c>
      <c r="I18" s="67">
        <f>H18/H17</f>
        <v>0.25</v>
      </c>
    </row>
    <row r="19" spans="1:9" s="67" customFormat="1" ht="15">
      <c r="A19" s="81" t="s">
        <v>18</v>
      </c>
      <c r="B19" s="34" t="s">
        <v>19</v>
      </c>
      <c r="C19" s="85">
        <v>1.69</v>
      </c>
      <c r="D19" s="83">
        <f>D17*I19</f>
        <v>116560.7067052023</v>
      </c>
      <c r="E19" s="83">
        <f>E17*I19</f>
        <v>119377.14421242774</v>
      </c>
      <c r="F19" s="83">
        <f t="shared" si="0"/>
        <v>116560.7067052023</v>
      </c>
      <c r="G19" s="84">
        <f t="shared" si="1"/>
        <v>-2816.4375072254334</v>
      </c>
      <c r="H19" s="78">
        <f>C19</f>
        <v>1.69</v>
      </c>
      <c r="I19" s="67">
        <f>H19/H17</f>
        <v>0.12210982658959538</v>
      </c>
    </row>
    <row r="20" spans="1:9" s="67" customFormat="1" ht="15">
      <c r="A20" s="81" t="s">
        <v>20</v>
      </c>
      <c r="B20" s="34" t="s">
        <v>21</v>
      </c>
      <c r="C20" s="82">
        <v>2.15</v>
      </c>
      <c r="D20" s="83">
        <f>D17*I20</f>
        <v>148287.2895953757</v>
      </c>
      <c r="E20" s="83">
        <f>E17*I20</f>
        <v>151870.33139450866</v>
      </c>
      <c r="F20" s="83">
        <f t="shared" si="0"/>
        <v>148287.2895953757</v>
      </c>
      <c r="G20" s="84">
        <f t="shared" si="1"/>
        <v>-3583.041799132945</v>
      </c>
      <c r="H20" s="78">
        <f>C20</f>
        <v>2.15</v>
      </c>
      <c r="I20" s="67">
        <f>H20/H17</f>
        <v>0.15534682080924855</v>
      </c>
    </row>
    <row r="21" spans="1:9" s="67" customFormat="1" ht="15">
      <c r="A21" s="81" t="s">
        <v>22</v>
      </c>
      <c r="B21" s="34" t="s">
        <v>23</v>
      </c>
      <c r="C21" s="82">
        <v>3.04</v>
      </c>
      <c r="D21" s="83">
        <f>D17*I21</f>
        <v>209671.33040462426</v>
      </c>
      <c r="E21" s="83">
        <f>E17*I21</f>
        <v>214737.58485549132</v>
      </c>
      <c r="F21" s="83">
        <f t="shared" si="0"/>
        <v>209671.33040462426</v>
      </c>
      <c r="G21" s="84">
        <f t="shared" si="1"/>
        <v>-5066.254450867069</v>
      </c>
      <c r="H21" s="78">
        <f>C21</f>
        <v>3.04</v>
      </c>
      <c r="I21" s="67">
        <f>H21/H17</f>
        <v>0.21965317919075145</v>
      </c>
    </row>
    <row r="22" spans="1:9" s="67" customFormat="1" ht="15">
      <c r="A22" s="81" t="s">
        <v>24</v>
      </c>
      <c r="B22" s="34" t="s">
        <v>232</v>
      </c>
      <c r="C22" s="82">
        <v>3.5</v>
      </c>
      <c r="D22" s="83">
        <f>D17*I22</f>
        <v>232431.70508670522</v>
      </c>
      <c r="E22" s="83">
        <f>E17*I22</f>
        <v>238047.91479046244</v>
      </c>
      <c r="F22" s="83">
        <f t="shared" si="0"/>
        <v>232431.70508670522</v>
      </c>
      <c r="G22" s="84">
        <f t="shared" si="1"/>
        <v>-5616.209703757224</v>
      </c>
      <c r="H22" s="78">
        <v>3.37</v>
      </c>
      <c r="I22" s="67">
        <f>H22/H17</f>
        <v>0.24349710982658962</v>
      </c>
    </row>
    <row r="23" spans="1:13" s="39" customFormat="1" ht="15">
      <c r="A23" s="41" t="s">
        <v>25</v>
      </c>
      <c r="B23" s="41" t="s">
        <v>26</v>
      </c>
      <c r="C23" s="97">
        <v>3.86</v>
      </c>
      <c r="D23" s="77">
        <v>262194.36</v>
      </c>
      <c r="E23" s="77">
        <v>272662.79</v>
      </c>
      <c r="F23" s="76">
        <f t="shared" si="0"/>
        <v>262194.36</v>
      </c>
      <c r="G23" s="77">
        <f aca="true" t="shared" si="2" ref="G23:G32">D23-E23</f>
        <v>-10468.429999999993</v>
      </c>
      <c r="M23" s="234"/>
    </row>
    <row r="24" spans="1:13" s="39" customFormat="1" ht="15">
      <c r="A24" s="41" t="s">
        <v>27</v>
      </c>
      <c r="B24" s="41" t="s">
        <v>28</v>
      </c>
      <c r="C24" s="97"/>
      <c r="D24" s="77">
        <v>0</v>
      </c>
      <c r="E24" s="77">
        <v>0</v>
      </c>
      <c r="F24" s="77">
        <f t="shared" si="0"/>
        <v>0</v>
      </c>
      <c r="G24" s="77">
        <f t="shared" si="2"/>
        <v>0</v>
      </c>
      <c r="M24" s="234"/>
    </row>
    <row r="25" spans="1:13" s="39" customFormat="1" ht="15">
      <c r="A25" s="41" t="s">
        <v>29</v>
      </c>
      <c r="B25" s="41" t="s">
        <v>30</v>
      </c>
      <c r="C25" s="97">
        <v>0</v>
      </c>
      <c r="D25" s="77">
        <v>0</v>
      </c>
      <c r="E25" s="77">
        <v>0</v>
      </c>
      <c r="F25" s="77">
        <f t="shared" si="0"/>
        <v>0</v>
      </c>
      <c r="G25" s="77">
        <f t="shared" si="2"/>
        <v>0</v>
      </c>
      <c r="M25" s="234"/>
    </row>
    <row r="26" spans="1:13" s="39" customFormat="1" ht="15">
      <c r="A26" s="41" t="s">
        <v>31</v>
      </c>
      <c r="B26" s="41" t="s">
        <v>116</v>
      </c>
      <c r="C26" s="97">
        <v>2.06</v>
      </c>
      <c r="D26" s="77">
        <v>139927.56</v>
      </c>
      <c r="E26" s="77">
        <v>145534.62</v>
      </c>
      <c r="F26" s="87">
        <f>F43</f>
        <v>62378.0462</v>
      </c>
      <c r="G26" s="77">
        <f t="shared" si="2"/>
        <v>-5607.059999999998</v>
      </c>
      <c r="M26" s="237"/>
    </row>
    <row r="27" spans="1:13" s="39" customFormat="1" ht="15">
      <c r="A27" s="41" t="s">
        <v>33</v>
      </c>
      <c r="B27" s="41" t="s">
        <v>163</v>
      </c>
      <c r="C27" s="46" t="s">
        <v>334</v>
      </c>
      <c r="D27" s="77">
        <v>0</v>
      </c>
      <c r="E27" s="77">
        <v>0</v>
      </c>
      <c r="F27" s="87">
        <f>D27</f>
        <v>0</v>
      </c>
      <c r="G27" s="77">
        <f t="shared" si="2"/>
        <v>0</v>
      </c>
      <c r="M27" s="234"/>
    </row>
    <row r="28" spans="1:13" s="39" customFormat="1" ht="15">
      <c r="A28" s="41" t="s">
        <v>35</v>
      </c>
      <c r="B28" s="41" t="s">
        <v>36</v>
      </c>
      <c r="C28" s="97">
        <f>SUM(C29:C32)</f>
        <v>0</v>
      </c>
      <c r="D28" s="77">
        <f>SUM(D29:D32)</f>
        <v>3660488.82</v>
      </c>
      <c r="E28" s="77">
        <f>SUM(E29:E32)</f>
        <v>3896765.39</v>
      </c>
      <c r="F28" s="77">
        <f>SUM(F29:F32)</f>
        <v>2065240.6999999997</v>
      </c>
      <c r="G28" s="77">
        <f t="shared" si="2"/>
        <v>-236276.5700000003</v>
      </c>
      <c r="M28" s="234"/>
    </row>
    <row r="29" spans="1:7" ht="15">
      <c r="A29" s="34" t="s">
        <v>37</v>
      </c>
      <c r="B29" s="34" t="s">
        <v>174</v>
      </c>
      <c r="C29" s="297" t="s">
        <v>406</v>
      </c>
      <c r="D29" s="84">
        <v>1123491.48</v>
      </c>
      <c r="E29" s="84">
        <v>1214482.72</v>
      </c>
      <c r="F29" s="84">
        <f>D29</f>
        <v>1123491.48</v>
      </c>
      <c r="G29" s="84">
        <f t="shared" si="2"/>
        <v>-90991.23999999999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321651.25</v>
      </c>
      <c r="E30" s="84">
        <v>353965.25</v>
      </c>
      <c r="F30" s="84">
        <f>D30</f>
        <v>321651.25</v>
      </c>
      <c r="G30" s="84">
        <f t="shared" si="2"/>
        <v>-32314</v>
      </c>
    </row>
    <row r="31" spans="1:7" ht="15">
      <c r="A31" s="34" t="s">
        <v>42</v>
      </c>
      <c r="B31" s="34" t="s">
        <v>421</v>
      </c>
      <c r="C31" s="290" t="s">
        <v>480</v>
      </c>
      <c r="D31" s="84">
        <v>581963.57</v>
      </c>
      <c r="E31" s="84">
        <v>642169.27</v>
      </c>
      <c r="F31" s="84">
        <f>D31</f>
        <v>581963.57</v>
      </c>
      <c r="G31" s="84">
        <f t="shared" si="2"/>
        <v>-60205.70000000007</v>
      </c>
    </row>
    <row r="32" spans="1:7" ht="15">
      <c r="A32" s="34" t="s">
        <v>41</v>
      </c>
      <c r="B32" s="34" t="s">
        <v>43</v>
      </c>
      <c r="C32" s="290" t="s">
        <v>424</v>
      </c>
      <c r="D32" s="84">
        <v>1633382.52</v>
      </c>
      <c r="E32" s="84">
        <v>1686148.15</v>
      </c>
      <c r="F32" s="84">
        <v>38134.4</v>
      </c>
      <c r="G32" s="84">
        <f t="shared" si="2"/>
        <v>-52765.62999999989</v>
      </c>
    </row>
    <row r="33" spans="1:10" s="102" customFormat="1" ht="15.75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9" s="67" customFormat="1" ht="15.75" thickBot="1">
      <c r="A34" s="391" t="s">
        <v>410</v>
      </c>
      <c r="B34" s="392"/>
      <c r="C34" s="392"/>
      <c r="D34" s="65">
        <v>918773.55</v>
      </c>
      <c r="E34" s="66"/>
      <c r="F34" s="66"/>
      <c r="G34" s="66"/>
      <c r="H34" s="62"/>
      <c r="I34" s="62"/>
    </row>
    <row r="35" spans="1:9" s="67" customFormat="1" ht="9.75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413</v>
      </c>
      <c r="B36" s="64"/>
      <c r="C36" s="64"/>
      <c r="D36" s="69"/>
      <c r="E36" s="70"/>
      <c r="F36" s="70"/>
      <c r="G36" s="145">
        <f>G14+E26-F26</f>
        <v>-110726.91830000003</v>
      </c>
      <c r="H36" s="62"/>
      <c r="I36" s="62"/>
    </row>
    <row r="37" spans="1:9" s="67" customFormat="1" ht="15">
      <c r="A37" s="523" t="s">
        <v>145</v>
      </c>
      <c r="B37" s="523"/>
      <c r="C37" s="68"/>
      <c r="D37" s="40"/>
      <c r="E37" s="66"/>
      <c r="F37" s="66"/>
      <c r="G37" s="40"/>
      <c r="H37" s="62"/>
      <c r="I37" s="62"/>
    </row>
    <row r="38" spans="1:9" s="67" customFormat="1" ht="15">
      <c r="A38" s="492" t="s">
        <v>146</v>
      </c>
      <c r="B38" s="493"/>
      <c r="C38" s="44" t="s">
        <v>147</v>
      </c>
      <c r="D38" s="44" t="s">
        <v>148</v>
      </c>
      <c r="E38" s="45" t="s">
        <v>149</v>
      </c>
      <c r="F38" s="42" t="s">
        <v>150</v>
      </c>
      <c r="G38" s="45" t="s">
        <v>151</v>
      </c>
      <c r="H38" s="62"/>
      <c r="I38" s="62"/>
    </row>
    <row r="39" spans="1:9" s="67" customFormat="1" ht="15">
      <c r="A39" s="494"/>
      <c r="B39" s="495"/>
      <c r="C39" s="298">
        <v>101</v>
      </c>
      <c r="D39" s="154">
        <f>E39/C39/12</f>
        <v>16.259999999999998</v>
      </c>
      <c r="E39" s="238">
        <v>19707.12</v>
      </c>
      <c r="F39" s="238">
        <f>18064.86-1642.26</f>
        <v>16422.600000000002</v>
      </c>
      <c r="G39" s="154">
        <f>E39-F39</f>
        <v>3284.519999999997</v>
      </c>
      <c r="H39" s="62"/>
      <c r="I39" s="302">
        <f>C39</f>
        <v>101</v>
      </c>
    </row>
    <row r="40" spans="1:9" ht="35.25" customHeight="1">
      <c r="A40" s="463" t="s">
        <v>44</v>
      </c>
      <c r="B40" s="463"/>
      <c r="C40" s="463"/>
      <c r="D40" s="463"/>
      <c r="E40" s="463"/>
      <c r="F40" s="463"/>
      <c r="G40" s="463"/>
      <c r="H40" s="463"/>
      <c r="I40" s="463"/>
    </row>
    <row r="42" spans="1:7" s="172" customFormat="1" ht="28.5" customHeight="1">
      <c r="A42" s="105" t="s">
        <v>11</v>
      </c>
      <c r="B42" s="401" t="s">
        <v>45</v>
      </c>
      <c r="C42" s="420"/>
      <c r="D42" s="105" t="s">
        <v>165</v>
      </c>
      <c r="E42" s="105" t="s">
        <v>164</v>
      </c>
      <c r="F42" s="401" t="s">
        <v>46</v>
      </c>
      <c r="G42" s="420"/>
    </row>
    <row r="43" spans="1:7" s="115" customFormat="1" ht="15">
      <c r="A43" s="109" t="s">
        <v>47</v>
      </c>
      <c r="B43" s="403" t="s">
        <v>111</v>
      </c>
      <c r="C43" s="425"/>
      <c r="D43" s="111"/>
      <c r="E43" s="111"/>
      <c r="F43" s="430">
        <f>SUM(F44:G49)</f>
        <v>62378.0462</v>
      </c>
      <c r="G43" s="419"/>
    </row>
    <row r="44" spans="1:13" ht="15" customHeight="1">
      <c r="A44" s="34" t="s">
        <v>16</v>
      </c>
      <c r="B44" s="413" t="s">
        <v>618</v>
      </c>
      <c r="C44" s="423"/>
      <c r="D44" s="349" t="s">
        <v>236</v>
      </c>
      <c r="E44" s="364">
        <v>1</v>
      </c>
      <c r="F44" s="451">
        <v>3942</v>
      </c>
      <c r="G44" s="452"/>
      <c r="M44" s="35"/>
    </row>
    <row r="45" spans="1:13" ht="15" customHeight="1">
      <c r="A45" s="34" t="s">
        <v>18</v>
      </c>
      <c r="B45" s="413" t="s">
        <v>617</v>
      </c>
      <c r="C45" s="423"/>
      <c r="D45" s="349" t="s">
        <v>236</v>
      </c>
      <c r="E45" s="349">
        <v>2</v>
      </c>
      <c r="F45" s="431">
        <v>36200</v>
      </c>
      <c r="G45" s="431"/>
      <c r="M45" s="35"/>
    </row>
    <row r="46" spans="1:13" ht="15" customHeight="1">
      <c r="A46" s="34" t="s">
        <v>20</v>
      </c>
      <c r="B46" s="382" t="s">
        <v>738</v>
      </c>
      <c r="C46" s="383"/>
      <c r="D46" s="119" t="s">
        <v>236</v>
      </c>
      <c r="E46" s="212">
        <v>1</v>
      </c>
      <c r="F46" s="429">
        <v>2780.7</v>
      </c>
      <c r="G46" s="429"/>
      <c r="M46" s="35"/>
    </row>
    <row r="47" spans="1:13" ht="15" customHeight="1">
      <c r="A47" s="34" t="s">
        <v>22</v>
      </c>
      <c r="B47" s="382" t="s">
        <v>742</v>
      </c>
      <c r="C47" s="383"/>
      <c r="D47" s="119"/>
      <c r="E47" s="212"/>
      <c r="F47" s="429">
        <v>18000</v>
      </c>
      <c r="G47" s="429"/>
      <c r="M47" s="35"/>
    </row>
    <row r="48" spans="1:13" ht="15" customHeight="1">
      <c r="A48" s="34" t="s">
        <v>24</v>
      </c>
      <c r="B48" s="382"/>
      <c r="C48" s="383"/>
      <c r="D48" s="119"/>
      <c r="E48" s="212"/>
      <c r="F48" s="429"/>
      <c r="G48" s="429"/>
      <c r="M48" s="35"/>
    </row>
    <row r="49" spans="1:13" ht="15" customHeight="1">
      <c r="A49" s="34" t="s">
        <v>103</v>
      </c>
      <c r="B49" s="455" t="s">
        <v>191</v>
      </c>
      <c r="C49" s="536"/>
      <c r="D49" s="124"/>
      <c r="E49" s="124"/>
      <c r="F49" s="429">
        <f>E26*1%</f>
        <v>1455.3462</v>
      </c>
      <c r="G49" s="429"/>
      <c r="M49" s="35"/>
    </row>
    <row r="50" spans="1:13" ht="15">
      <c r="A50" s="169"/>
      <c r="B50" s="93"/>
      <c r="C50" s="93"/>
      <c r="D50" s="93"/>
      <c r="E50" s="93"/>
      <c r="F50" s="181"/>
      <c r="G50" s="181"/>
      <c r="M50" s="35"/>
    </row>
    <row r="51" s="67" customFormat="1" ht="15"/>
    <row r="52" spans="1:6" s="67" customFormat="1" ht="15">
      <c r="A52" s="67" t="s">
        <v>55</v>
      </c>
      <c r="C52" s="67" t="s">
        <v>49</v>
      </c>
      <c r="F52" s="67" t="s">
        <v>90</v>
      </c>
    </row>
    <row r="53" s="67" customFormat="1" ht="15">
      <c r="F53" s="127" t="s">
        <v>438</v>
      </c>
    </row>
    <row r="54" s="67" customFormat="1" ht="15">
      <c r="A54" s="67" t="s">
        <v>50</v>
      </c>
    </row>
    <row r="55" spans="3:7" s="67" customFormat="1" ht="15">
      <c r="C55" s="129" t="s">
        <v>51</v>
      </c>
      <c r="E55" s="129"/>
      <c r="F55" s="129"/>
      <c r="G55" s="129"/>
    </row>
    <row r="56" s="67" customFormat="1" ht="15"/>
  </sheetData>
  <sheetProtection/>
  <mergeCells count="28">
    <mergeCell ref="F48:G48"/>
    <mergeCell ref="F46:G46"/>
    <mergeCell ref="F43:G43"/>
    <mergeCell ref="F44:G44"/>
    <mergeCell ref="F42:G42"/>
    <mergeCell ref="F45:G45"/>
    <mergeCell ref="B49:C49"/>
    <mergeCell ref="F49:G49"/>
    <mergeCell ref="B47:C47"/>
    <mergeCell ref="B48:C48"/>
    <mergeCell ref="F47:G47"/>
    <mergeCell ref="A33:F33"/>
    <mergeCell ref="A12:I12"/>
    <mergeCell ref="A11:I11"/>
    <mergeCell ref="A38:B39"/>
    <mergeCell ref="B44:C44"/>
    <mergeCell ref="B45:C45"/>
    <mergeCell ref="A40:I40"/>
    <mergeCell ref="A34:C34"/>
    <mergeCell ref="B42:C42"/>
    <mergeCell ref="B43:C43"/>
    <mergeCell ref="B46:C46"/>
    <mergeCell ref="A37:B37"/>
    <mergeCell ref="A1:I1"/>
    <mergeCell ref="A2:I2"/>
    <mergeCell ref="A3:K3"/>
    <mergeCell ref="A5:I5"/>
    <mergeCell ref="A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7030A0"/>
  </sheetPr>
  <dimension ref="A1:N65"/>
  <sheetViews>
    <sheetView zoomScalePageLayoutView="0" workbookViewId="0" topLeftCell="A50">
      <selection activeCell="A58" sqref="A58"/>
    </sheetView>
  </sheetViews>
  <sheetFormatPr defaultColWidth="9.140625" defaultRowHeight="15" outlineLevelCol="1"/>
  <cols>
    <col min="1" max="1" width="5.00390625" style="35" customWidth="1"/>
    <col min="2" max="2" width="48.7109375" style="35" customWidth="1"/>
    <col min="3" max="3" width="12.7109375" style="38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00390625" style="232" bestFit="1" customWidth="1" collapsed="1"/>
    <col min="14" max="14" width="11.421875" style="35" bestFit="1" customWidth="1"/>
    <col min="15" max="16384" width="9.140625" style="35" customWidth="1"/>
  </cols>
  <sheetData>
    <row r="1" spans="1:6" ht="15">
      <c r="A1" s="67"/>
      <c r="B1" s="67"/>
      <c r="C1" s="67"/>
      <c r="D1" s="67"/>
      <c r="E1" s="67"/>
      <c r="F1" s="67"/>
    </row>
    <row r="3" spans="1:9" ht="15">
      <c r="A3" s="405" t="s">
        <v>0</v>
      </c>
      <c r="B3" s="405"/>
      <c r="C3" s="405"/>
      <c r="D3" s="405"/>
      <c r="E3" s="405"/>
      <c r="F3" s="405"/>
      <c r="G3" s="405"/>
      <c r="H3" s="405"/>
      <c r="I3" s="405"/>
    </row>
    <row r="4" spans="1:9" ht="15">
      <c r="A4" s="405" t="s">
        <v>52</v>
      </c>
      <c r="B4" s="405"/>
      <c r="C4" s="405"/>
      <c r="D4" s="405"/>
      <c r="E4" s="405"/>
      <c r="F4" s="405"/>
      <c r="G4" s="405"/>
      <c r="H4" s="405"/>
      <c r="I4" s="405"/>
    </row>
    <row r="5" spans="1:11" ht="15">
      <c r="A5" s="376" t="s">
        <v>401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9" ht="15">
      <c r="A6" s="158"/>
      <c r="B6" s="158"/>
      <c r="C6" s="241"/>
      <c r="D6" s="158"/>
      <c r="E6" s="158"/>
      <c r="F6" s="158"/>
      <c r="G6" s="158"/>
      <c r="H6" s="158"/>
      <c r="I6" s="158"/>
    </row>
    <row r="7" spans="1:9" ht="15">
      <c r="A7" s="406" t="s">
        <v>1</v>
      </c>
      <c r="B7" s="405"/>
      <c r="C7" s="405"/>
      <c r="D7" s="405"/>
      <c r="E7" s="405"/>
      <c r="F7" s="405"/>
      <c r="G7" s="405"/>
      <c r="H7" s="405"/>
      <c r="I7" s="405"/>
    </row>
    <row r="9" spans="1:11" ht="15">
      <c r="A9" s="67" t="s">
        <v>2</v>
      </c>
      <c r="B9" s="67"/>
      <c r="C9" s="126"/>
      <c r="D9" s="67"/>
      <c r="E9" s="67"/>
      <c r="F9" s="127" t="s">
        <v>141</v>
      </c>
      <c r="G9" s="67"/>
      <c r="H9" s="67"/>
      <c r="I9" s="67"/>
      <c r="J9" s="67"/>
      <c r="K9" s="67"/>
    </row>
    <row r="10" spans="1:11" ht="15">
      <c r="A10" s="67" t="s">
        <v>3</v>
      </c>
      <c r="B10" s="67"/>
      <c r="C10" s="126"/>
      <c r="D10" s="67"/>
      <c r="E10" s="67"/>
      <c r="F10" s="303" t="s">
        <v>349</v>
      </c>
      <c r="G10" s="67"/>
      <c r="H10" s="331">
        <f>254.6+245.8</f>
        <v>500.4</v>
      </c>
      <c r="I10" s="332">
        <f>4381.1</f>
        <v>4381.1</v>
      </c>
      <c r="J10" s="311">
        <f>H10+I10</f>
        <v>4881.5</v>
      </c>
      <c r="K10" s="67"/>
    </row>
    <row r="11" spans="1:11" ht="15">
      <c r="A11" s="67"/>
      <c r="B11" s="67"/>
      <c r="C11" s="126"/>
      <c r="D11" s="67"/>
      <c r="E11" s="67"/>
      <c r="F11" s="67"/>
      <c r="G11" s="67"/>
      <c r="H11" s="67"/>
      <c r="I11" s="67"/>
      <c r="J11" s="67"/>
      <c r="K11" s="67"/>
    </row>
    <row r="12" spans="1:11" ht="15">
      <c r="A12" s="378" t="s">
        <v>8</v>
      </c>
      <c r="B12" s="378"/>
      <c r="C12" s="378"/>
      <c r="D12" s="378"/>
      <c r="E12" s="378"/>
      <c r="F12" s="378"/>
      <c r="G12" s="378"/>
      <c r="H12" s="378"/>
      <c r="I12" s="378"/>
      <c r="J12" s="67"/>
      <c r="K12" s="67"/>
    </row>
    <row r="13" spans="1:11" ht="15">
      <c r="A13" s="378" t="s">
        <v>9</v>
      </c>
      <c r="B13" s="378"/>
      <c r="C13" s="378"/>
      <c r="D13" s="378"/>
      <c r="E13" s="378"/>
      <c r="F13" s="378"/>
      <c r="G13" s="378"/>
      <c r="H13" s="378"/>
      <c r="I13" s="378"/>
      <c r="J13" s="67"/>
      <c r="K13" s="67"/>
    </row>
    <row r="14" spans="1:11" ht="15.75" thickBot="1">
      <c r="A14" s="378" t="s">
        <v>10</v>
      </c>
      <c r="B14" s="378"/>
      <c r="C14" s="378"/>
      <c r="D14" s="378"/>
      <c r="E14" s="378"/>
      <c r="F14" s="378"/>
      <c r="G14" s="378"/>
      <c r="H14" s="378"/>
      <c r="I14" s="378"/>
      <c r="J14" s="67"/>
      <c r="K14" s="67"/>
    </row>
    <row r="15" spans="1:11" ht="31.5" customHeight="1" thickBot="1">
      <c r="A15" s="541" t="s">
        <v>399</v>
      </c>
      <c r="B15" s="542"/>
      <c r="C15" s="542"/>
      <c r="D15" s="542"/>
      <c r="E15" s="542"/>
      <c r="F15" s="542"/>
      <c r="G15" s="65">
        <f>'[1]Аллейная 2'!$G$38</f>
        <v>-367776.81049999996</v>
      </c>
      <c r="H15" s="62"/>
      <c r="I15" s="62"/>
      <c r="J15" s="67"/>
      <c r="K15" s="67"/>
    </row>
    <row r="16" spans="1:11" ht="15">
      <c r="A16" s="67"/>
      <c r="B16" s="67"/>
      <c r="C16" s="126"/>
      <c r="D16" s="67"/>
      <c r="E16" s="67"/>
      <c r="F16" s="67"/>
      <c r="G16" s="67"/>
      <c r="H16" s="67"/>
      <c r="I16" s="67"/>
      <c r="J16" s="67"/>
      <c r="K16" s="67"/>
    </row>
    <row r="17" spans="1:1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  <c r="H17" s="74"/>
      <c r="I17" s="74"/>
      <c r="J17" s="74"/>
      <c r="K17" s="74"/>
    </row>
    <row r="18" spans="1:11" ht="15">
      <c r="A18" s="75" t="s">
        <v>14</v>
      </c>
      <c r="B18" s="41" t="s">
        <v>15</v>
      </c>
      <c r="C18" s="53">
        <f>C19+C20+C21+C22+C23</f>
        <v>13.84</v>
      </c>
      <c r="D18" s="76">
        <v>727913.52</v>
      </c>
      <c r="E18" s="76">
        <v>790295.7</v>
      </c>
      <c r="F18" s="76">
        <f>F19+F20+F21+F22+F23</f>
        <v>727913.52</v>
      </c>
      <c r="G18" s="77">
        <f aca="true" t="shared" si="0" ref="G18:G23">D18-E18</f>
        <v>-62382.179999999935</v>
      </c>
      <c r="H18" s="78">
        <f aca="true" t="shared" si="1" ref="H18:H23">C18</f>
        <v>13.84</v>
      </c>
      <c r="I18" s="168"/>
      <c r="J18" s="168">
        <f>D18/C18/12</f>
        <v>4382.908959537573</v>
      </c>
      <c r="K18" s="168"/>
    </row>
    <row r="19" spans="1:11" ht="15">
      <c r="A19" s="81" t="s">
        <v>16</v>
      </c>
      <c r="B19" s="34" t="s">
        <v>17</v>
      </c>
      <c r="C19" s="37">
        <v>3.46</v>
      </c>
      <c r="D19" s="83">
        <f>D18*I19</f>
        <v>181978.38</v>
      </c>
      <c r="E19" s="83">
        <f>E18*I19</f>
        <v>197573.925</v>
      </c>
      <c r="F19" s="83">
        <f aca="true" t="shared" si="2" ref="F19:F27">D19</f>
        <v>181978.38</v>
      </c>
      <c r="G19" s="84">
        <f t="shared" si="0"/>
        <v>-15595.544999999984</v>
      </c>
      <c r="H19" s="78">
        <f t="shared" si="1"/>
        <v>3.46</v>
      </c>
      <c r="I19" s="67">
        <f>H19/H18</f>
        <v>0.25</v>
      </c>
      <c r="J19" s="67"/>
      <c r="K19" s="67"/>
    </row>
    <row r="20" spans="1:11" ht="15">
      <c r="A20" s="81" t="s">
        <v>18</v>
      </c>
      <c r="B20" s="34" t="s">
        <v>19</v>
      </c>
      <c r="C20" s="85">
        <v>1.69</v>
      </c>
      <c r="D20" s="83">
        <f>D18*I20</f>
        <v>88885.39369942197</v>
      </c>
      <c r="E20" s="83">
        <f>E18*I20</f>
        <v>96502.87088150288</v>
      </c>
      <c r="F20" s="83">
        <f t="shared" si="2"/>
        <v>88885.39369942197</v>
      </c>
      <c r="G20" s="84">
        <f t="shared" si="0"/>
        <v>-7617.477182080911</v>
      </c>
      <c r="H20" s="78">
        <f t="shared" si="1"/>
        <v>1.69</v>
      </c>
      <c r="I20" s="67">
        <f>H20/H18</f>
        <v>0.12210982658959538</v>
      </c>
      <c r="J20" s="67"/>
      <c r="K20" s="67"/>
    </row>
    <row r="21" spans="1:11" ht="15">
      <c r="A21" s="81" t="s">
        <v>20</v>
      </c>
      <c r="B21" s="34" t="s">
        <v>21</v>
      </c>
      <c r="C21" s="85">
        <v>2.15</v>
      </c>
      <c r="D21" s="83">
        <f>D18*I21</f>
        <v>113079.05115606937</v>
      </c>
      <c r="E21" s="83">
        <f>E18*I21</f>
        <v>122769.92449421964</v>
      </c>
      <c r="F21" s="83">
        <f t="shared" si="2"/>
        <v>113079.05115606937</v>
      </c>
      <c r="G21" s="84">
        <f t="shared" si="0"/>
        <v>-9690.873338150268</v>
      </c>
      <c r="H21" s="78">
        <f t="shared" si="1"/>
        <v>2.15</v>
      </c>
      <c r="I21" s="67">
        <f>H21/H18</f>
        <v>0.15534682080924855</v>
      </c>
      <c r="J21" s="67"/>
      <c r="K21" s="67"/>
    </row>
    <row r="22" spans="1:11" ht="15">
      <c r="A22" s="81" t="s">
        <v>22</v>
      </c>
      <c r="B22" s="34" t="s">
        <v>23</v>
      </c>
      <c r="C22" s="85">
        <v>3.04</v>
      </c>
      <c r="D22" s="83">
        <f>D18*I22</f>
        <v>159888.51884393065</v>
      </c>
      <c r="E22" s="83">
        <f>E18*I22</f>
        <v>173590.96300578033</v>
      </c>
      <c r="F22" s="83">
        <f t="shared" si="2"/>
        <v>159888.51884393065</v>
      </c>
      <c r="G22" s="84">
        <f t="shared" si="0"/>
        <v>-13702.444161849678</v>
      </c>
      <c r="H22" s="78">
        <f t="shared" si="1"/>
        <v>3.04</v>
      </c>
      <c r="I22" s="67">
        <f>H22/H18</f>
        <v>0.21965317919075145</v>
      </c>
      <c r="J22" s="67"/>
      <c r="K22" s="67"/>
    </row>
    <row r="23" spans="1:11" ht="15">
      <c r="A23" s="81" t="s">
        <v>24</v>
      </c>
      <c r="B23" s="34" t="s">
        <v>144</v>
      </c>
      <c r="C23" s="85">
        <v>3.5</v>
      </c>
      <c r="D23" s="83">
        <f>D18*I23</f>
        <v>184082.17630057805</v>
      </c>
      <c r="E23" s="83">
        <f>E18*I23</f>
        <v>199858.01661849712</v>
      </c>
      <c r="F23" s="83">
        <f t="shared" si="2"/>
        <v>184082.17630057805</v>
      </c>
      <c r="G23" s="84">
        <f t="shared" si="0"/>
        <v>-15775.840317919065</v>
      </c>
      <c r="H23" s="78">
        <f t="shared" si="1"/>
        <v>3.5</v>
      </c>
      <c r="I23" s="67">
        <f>H23/H18</f>
        <v>0.25289017341040465</v>
      </c>
      <c r="J23" s="67"/>
      <c r="K23" s="67"/>
    </row>
    <row r="24" spans="1:14" ht="29.25">
      <c r="A24" s="41" t="s">
        <v>25</v>
      </c>
      <c r="B24" s="41" t="s">
        <v>272</v>
      </c>
      <c r="C24" s="46">
        <v>7.15</v>
      </c>
      <c r="D24" s="245">
        <v>375901.44</v>
      </c>
      <c r="E24" s="76">
        <v>396538.96</v>
      </c>
      <c r="F24" s="245">
        <f>F58</f>
        <v>557094.5</v>
      </c>
      <c r="G24" s="77">
        <f aca="true" t="shared" si="3" ref="G24:G34">D24-E24</f>
        <v>-20637.52000000002</v>
      </c>
      <c r="H24" s="78"/>
      <c r="I24" s="67"/>
      <c r="J24" s="67"/>
      <c r="K24" s="67"/>
      <c r="N24" s="160"/>
    </row>
    <row r="25" spans="1:11" ht="15">
      <c r="A25" s="41" t="s">
        <v>27</v>
      </c>
      <c r="B25" s="41" t="s">
        <v>26</v>
      </c>
      <c r="C25" s="90">
        <v>3.86</v>
      </c>
      <c r="D25" s="77">
        <v>202932.48</v>
      </c>
      <c r="E25" s="77">
        <v>213401.1</v>
      </c>
      <c r="F25" s="76">
        <f>D25</f>
        <v>202932.48</v>
      </c>
      <c r="G25" s="77">
        <f t="shared" si="3"/>
        <v>-10468.619999999995</v>
      </c>
      <c r="H25" s="39"/>
      <c r="I25" s="39"/>
      <c r="J25" s="39"/>
      <c r="K25" s="39"/>
    </row>
    <row r="26" spans="1:11" ht="15">
      <c r="A26" s="41" t="s">
        <v>29</v>
      </c>
      <c r="B26" s="41" t="s">
        <v>28</v>
      </c>
      <c r="C26" s="90">
        <v>0</v>
      </c>
      <c r="D26" s="77">
        <v>0</v>
      </c>
      <c r="E26" s="77">
        <v>0</v>
      </c>
      <c r="F26" s="77">
        <f t="shared" si="2"/>
        <v>0</v>
      </c>
      <c r="G26" s="77">
        <f t="shared" si="3"/>
        <v>0</v>
      </c>
      <c r="H26" s="39"/>
      <c r="I26" s="39"/>
      <c r="J26" s="39"/>
      <c r="K26" s="39"/>
    </row>
    <row r="27" spans="1:11" ht="15">
      <c r="A27" s="41" t="s">
        <v>31</v>
      </c>
      <c r="B27" s="41" t="s">
        <v>163</v>
      </c>
      <c r="C27" s="90">
        <v>12.54</v>
      </c>
      <c r="D27" s="77">
        <v>0</v>
      </c>
      <c r="E27" s="77">
        <v>0</v>
      </c>
      <c r="F27" s="77">
        <f t="shared" si="2"/>
        <v>0</v>
      </c>
      <c r="G27" s="77">
        <f t="shared" si="3"/>
        <v>0</v>
      </c>
      <c r="H27" s="39"/>
      <c r="I27" s="39"/>
      <c r="J27" s="39"/>
      <c r="K27" s="39"/>
    </row>
    <row r="28" spans="1:14" ht="15">
      <c r="A28" s="41" t="s">
        <v>199</v>
      </c>
      <c r="B28" s="41" t="s">
        <v>116</v>
      </c>
      <c r="C28" s="90">
        <v>5</v>
      </c>
      <c r="D28" s="77">
        <v>262866</v>
      </c>
      <c r="E28" s="77">
        <v>259784.78</v>
      </c>
      <c r="F28" s="87">
        <f>F45</f>
        <v>80725.4278</v>
      </c>
      <c r="G28" s="77">
        <f t="shared" si="3"/>
        <v>3081.220000000001</v>
      </c>
      <c r="H28" s="39"/>
      <c r="I28" s="39"/>
      <c r="J28" s="39"/>
      <c r="K28" s="39"/>
      <c r="M28" s="243"/>
      <c r="N28" s="160"/>
    </row>
    <row r="29" spans="1:11" ht="15">
      <c r="A29" s="41" t="s">
        <v>257</v>
      </c>
      <c r="B29" s="41" t="s">
        <v>34</v>
      </c>
      <c r="C29" s="90">
        <v>0</v>
      </c>
      <c r="D29" s="77">
        <v>0</v>
      </c>
      <c r="E29" s="77">
        <v>0</v>
      </c>
      <c r="F29" s="87">
        <v>0</v>
      </c>
      <c r="G29" s="77">
        <f t="shared" si="3"/>
        <v>0</v>
      </c>
      <c r="H29" s="39"/>
      <c r="I29" s="39"/>
      <c r="J29" s="39"/>
      <c r="K29" s="39"/>
    </row>
    <row r="30" spans="1:11" ht="15">
      <c r="A30" s="41" t="s">
        <v>204</v>
      </c>
      <c r="B30" s="41" t="s">
        <v>36</v>
      </c>
      <c r="C30" s="90"/>
      <c r="D30" s="77">
        <f>SUM(D31:D34)</f>
        <v>2587339.84</v>
      </c>
      <c r="E30" s="77">
        <f>SUM(E31:E34)</f>
        <v>2467875.27</v>
      </c>
      <c r="F30" s="77">
        <f>SUM(F31:F34)</f>
        <v>2587339.84</v>
      </c>
      <c r="G30" s="77">
        <f t="shared" si="3"/>
        <v>119464.56999999983</v>
      </c>
      <c r="H30" s="39"/>
      <c r="I30" s="39"/>
      <c r="J30" s="39"/>
      <c r="K30" s="39"/>
    </row>
    <row r="31" spans="1:7" ht="15">
      <c r="A31" s="34" t="s">
        <v>206</v>
      </c>
      <c r="B31" s="34" t="s">
        <v>174</v>
      </c>
      <c r="C31" s="297" t="s">
        <v>406</v>
      </c>
      <c r="D31" s="84">
        <v>661094.93</v>
      </c>
      <c r="E31" s="84">
        <v>675208.65</v>
      </c>
      <c r="F31" s="84">
        <f>D31</f>
        <v>661094.93</v>
      </c>
      <c r="G31" s="84">
        <f t="shared" si="3"/>
        <v>-14113.719999999972</v>
      </c>
    </row>
    <row r="32" spans="1:7" ht="15">
      <c r="A32" s="34" t="s">
        <v>207</v>
      </c>
      <c r="B32" s="34" t="s">
        <v>138</v>
      </c>
      <c r="C32" s="289" t="s">
        <v>409</v>
      </c>
      <c r="D32" s="84">
        <v>392256.79</v>
      </c>
      <c r="E32" s="84">
        <v>386442.17</v>
      </c>
      <c r="F32" s="84">
        <f>D32</f>
        <v>392256.79</v>
      </c>
      <c r="G32" s="84">
        <f t="shared" si="3"/>
        <v>5814.619999999995</v>
      </c>
    </row>
    <row r="33" spans="1:7" ht="26.25">
      <c r="A33" s="34" t="s">
        <v>208</v>
      </c>
      <c r="B33" s="34" t="s">
        <v>421</v>
      </c>
      <c r="C33" s="43" t="s">
        <v>485</v>
      </c>
      <c r="D33" s="84">
        <v>524356.9</v>
      </c>
      <c r="E33" s="84">
        <v>508940.33</v>
      </c>
      <c r="F33" s="84">
        <f>D33</f>
        <v>524356.9</v>
      </c>
      <c r="G33" s="84">
        <f t="shared" si="3"/>
        <v>15416.570000000007</v>
      </c>
    </row>
    <row r="34" spans="1:7" ht="26.25">
      <c r="A34" s="34" t="s">
        <v>209</v>
      </c>
      <c r="B34" s="34" t="s">
        <v>43</v>
      </c>
      <c r="C34" s="43" t="s">
        <v>485</v>
      </c>
      <c r="D34" s="84">
        <v>1009631.22</v>
      </c>
      <c r="E34" s="84">
        <v>897284.12</v>
      </c>
      <c r="F34" s="84">
        <f>D34</f>
        <v>1009631.22</v>
      </c>
      <c r="G34" s="84">
        <f t="shared" si="3"/>
        <v>112347.09999999998</v>
      </c>
    </row>
    <row r="35" spans="1:11" ht="15.75" thickBot="1">
      <c r="A35" s="379" t="s">
        <v>328</v>
      </c>
      <c r="B35" s="380"/>
      <c r="C35" s="380"/>
      <c r="D35" s="381"/>
      <c r="E35" s="381"/>
      <c r="F35" s="381"/>
      <c r="G35" s="101"/>
      <c r="H35" s="101"/>
      <c r="I35" s="101"/>
      <c r="J35" s="101"/>
      <c r="K35" s="102"/>
    </row>
    <row r="36" spans="1:11" ht="15.75" thickBot="1">
      <c r="A36" s="391" t="s">
        <v>410</v>
      </c>
      <c r="B36" s="392"/>
      <c r="C36" s="392"/>
      <c r="D36" s="65">
        <v>785755.19</v>
      </c>
      <c r="E36" s="66"/>
      <c r="F36" s="66"/>
      <c r="G36" s="66"/>
      <c r="H36" s="62"/>
      <c r="I36" s="62"/>
      <c r="J36" s="67"/>
      <c r="K36" s="67"/>
    </row>
    <row r="37" spans="1:11" ht="15.75" thickBot="1">
      <c r="A37" s="244"/>
      <c r="B37" s="68"/>
      <c r="C37" s="68"/>
      <c r="D37" s="220"/>
      <c r="E37" s="66"/>
      <c r="F37" s="66"/>
      <c r="G37" s="66"/>
      <c r="H37" s="62"/>
      <c r="I37" s="62"/>
      <c r="J37" s="67"/>
      <c r="K37" s="67"/>
    </row>
    <row r="38" spans="1:14" ht="27" customHeight="1" thickBot="1">
      <c r="A38" s="541" t="s">
        <v>486</v>
      </c>
      <c r="B38" s="542"/>
      <c r="C38" s="542"/>
      <c r="D38" s="542"/>
      <c r="E38" s="542"/>
      <c r="F38" s="542"/>
      <c r="G38" s="145">
        <f>G15+E28-F28+E24-F24</f>
        <v>-349272.9983</v>
      </c>
      <c r="H38" s="62"/>
      <c r="I38" s="62"/>
      <c r="J38" s="67"/>
      <c r="K38" s="67"/>
      <c r="M38" s="243"/>
      <c r="N38" s="160"/>
    </row>
    <row r="39" spans="1:11" ht="15">
      <c r="A39" s="523" t="s">
        <v>145</v>
      </c>
      <c r="B39" s="523"/>
      <c r="C39" s="68"/>
      <c r="D39" s="40"/>
      <c r="E39" s="66"/>
      <c r="F39" s="66"/>
      <c r="G39" s="40"/>
      <c r="H39" s="62"/>
      <c r="I39" s="62"/>
      <c r="J39" s="67"/>
      <c r="K39" s="67"/>
    </row>
    <row r="40" spans="1:11" ht="15">
      <c r="A40" s="492" t="s">
        <v>146</v>
      </c>
      <c r="B40" s="493"/>
      <c r="C40" s="44" t="s">
        <v>147</v>
      </c>
      <c r="D40" s="44" t="s">
        <v>148</v>
      </c>
      <c r="E40" s="45" t="s">
        <v>149</v>
      </c>
      <c r="F40" s="42" t="s">
        <v>150</v>
      </c>
      <c r="G40" s="45" t="s">
        <v>151</v>
      </c>
      <c r="H40" s="62"/>
      <c r="I40" s="62"/>
      <c r="J40" s="67"/>
      <c r="K40" s="67"/>
    </row>
    <row r="41" spans="1:11" ht="17.25" customHeight="1">
      <c r="A41" s="494"/>
      <c r="B41" s="495"/>
      <c r="C41" s="298">
        <f>254.6+245.8</f>
        <v>500.4</v>
      </c>
      <c r="D41" s="154">
        <f>E41/12/C41</f>
        <v>20.24111544098055</v>
      </c>
      <c r="E41" s="238">
        <v>121543.85</v>
      </c>
      <c r="F41" s="238">
        <v>125506.21</v>
      </c>
      <c r="G41" s="154">
        <f>E41-F41</f>
        <v>-3962.3600000000006</v>
      </c>
      <c r="H41" s="198"/>
      <c r="I41" s="198"/>
      <c r="J41" s="67"/>
      <c r="K41" s="67"/>
    </row>
    <row r="42" spans="1:9" ht="27" customHeight="1">
      <c r="A42" s="463" t="s">
        <v>44</v>
      </c>
      <c r="B42" s="530"/>
      <c r="C42" s="530"/>
      <c r="D42" s="530"/>
      <c r="E42" s="530"/>
      <c r="F42" s="530"/>
      <c r="G42" s="530"/>
      <c r="H42" s="199"/>
      <c r="I42" s="199"/>
    </row>
    <row r="44" spans="1:11" ht="28.5">
      <c r="A44" s="105" t="s">
        <v>11</v>
      </c>
      <c r="B44" s="401" t="s">
        <v>45</v>
      </c>
      <c r="C44" s="420"/>
      <c r="D44" s="105" t="s">
        <v>165</v>
      </c>
      <c r="E44" s="105" t="s">
        <v>164</v>
      </c>
      <c r="F44" s="401" t="s">
        <v>46</v>
      </c>
      <c r="G44" s="420"/>
      <c r="H44" s="172"/>
      <c r="I44" s="172"/>
      <c r="J44" s="172"/>
      <c r="K44" s="172"/>
    </row>
    <row r="45" spans="1:11" ht="15">
      <c r="A45" s="109" t="s">
        <v>47</v>
      </c>
      <c r="B45" s="403" t="s">
        <v>111</v>
      </c>
      <c r="C45" s="425"/>
      <c r="D45" s="111"/>
      <c r="E45" s="111"/>
      <c r="F45" s="430">
        <f>SUM(F46:G57)</f>
        <v>80725.4278</v>
      </c>
      <c r="G45" s="419"/>
      <c r="H45" s="115"/>
      <c r="I45" s="115"/>
      <c r="J45" s="115"/>
      <c r="K45" s="115"/>
    </row>
    <row r="46" spans="1:7" ht="39" customHeight="1">
      <c r="A46" s="34" t="s">
        <v>16</v>
      </c>
      <c r="B46" s="413" t="s">
        <v>613</v>
      </c>
      <c r="C46" s="423"/>
      <c r="D46" s="349" t="s">
        <v>236</v>
      </c>
      <c r="E46" s="349">
        <v>1</v>
      </c>
      <c r="F46" s="451">
        <v>1000</v>
      </c>
      <c r="G46" s="452"/>
    </row>
    <row r="47" spans="1:7" ht="15">
      <c r="A47" s="34" t="s">
        <v>18</v>
      </c>
      <c r="B47" s="427" t="s">
        <v>398</v>
      </c>
      <c r="C47" s="428"/>
      <c r="D47" s="349" t="s">
        <v>168</v>
      </c>
      <c r="E47" s="349">
        <v>6</v>
      </c>
      <c r="F47" s="451">
        <v>8500</v>
      </c>
      <c r="G47" s="452"/>
    </row>
    <row r="48" spans="1:7" ht="15">
      <c r="A48" s="34" t="s">
        <v>20</v>
      </c>
      <c r="B48" s="413" t="s">
        <v>307</v>
      </c>
      <c r="C48" s="423"/>
      <c r="D48" s="349" t="s">
        <v>236</v>
      </c>
      <c r="E48" s="349">
        <v>1</v>
      </c>
      <c r="F48" s="451">
        <v>43700</v>
      </c>
      <c r="G48" s="452"/>
    </row>
    <row r="49" spans="1:7" ht="15">
      <c r="A49" s="34" t="s">
        <v>22</v>
      </c>
      <c r="B49" s="413" t="s">
        <v>615</v>
      </c>
      <c r="C49" s="423"/>
      <c r="D49" s="349" t="s">
        <v>236</v>
      </c>
      <c r="E49" s="349">
        <v>3</v>
      </c>
      <c r="F49" s="451">
        <v>2061</v>
      </c>
      <c r="G49" s="452"/>
    </row>
    <row r="50" spans="1:7" ht="18" customHeight="1">
      <c r="A50" s="34" t="s">
        <v>24</v>
      </c>
      <c r="B50" s="382" t="s">
        <v>702</v>
      </c>
      <c r="C50" s="384"/>
      <c r="D50" s="119"/>
      <c r="E50" s="119"/>
      <c r="F50" s="470">
        <v>10000</v>
      </c>
      <c r="G50" s="471"/>
    </row>
    <row r="51" spans="1:7" ht="15">
      <c r="A51" s="34" t="s">
        <v>103</v>
      </c>
      <c r="B51" s="382" t="s">
        <v>743</v>
      </c>
      <c r="C51" s="384"/>
      <c r="D51" s="119"/>
      <c r="E51" s="119"/>
      <c r="F51" s="470">
        <v>580</v>
      </c>
      <c r="G51" s="471"/>
    </row>
    <row r="52" spans="1:7" ht="15">
      <c r="A52" s="34" t="s">
        <v>104</v>
      </c>
      <c r="B52" s="382" t="s">
        <v>744</v>
      </c>
      <c r="C52" s="384"/>
      <c r="D52" s="119"/>
      <c r="E52" s="119"/>
      <c r="F52" s="470">
        <v>3200</v>
      </c>
      <c r="G52" s="471"/>
    </row>
    <row r="53" spans="1:7" ht="15">
      <c r="A53" s="34" t="s">
        <v>117</v>
      </c>
      <c r="B53" s="382" t="s">
        <v>734</v>
      </c>
      <c r="C53" s="384"/>
      <c r="D53" s="119"/>
      <c r="E53" s="119"/>
      <c r="F53" s="446">
        <v>2100</v>
      </c>
      <c r="G53" s="447"/>
    </row>
    <row r="54" spans="1:7" ht="19.5" customHeight="1">
      <c r="A54" s="34" t="s">
        <v>118</v>
      </c>
      <c r="B54" s="382" t="s">
        <v>745</v>
      </c>
      <c r="C54" s="384"/>
      <c r="D54" s="119"/>
      <c r="E54" s="119"/>
      <c r="F54" s="446">
        <v>4864.88</v>
      </c>
      <c r="G54" s="447"/>
    </row>
    <row r="55" spans="1:7" ht="18.75" customHeight="1">
      <c r="A55" s="34" t="s">
        <v>119</v>
      </c>
      <c r="B55" s="382" t="s">
        <v>746</v>
      </c>
      <c r="C55" s="384"/>
      <c r="D55" s="119"/>
      <c r="E55" s="125"/>
      <c r="F55" s="446">
        <v>2121.7</v>
      </c>
      <c r="G55" s="447"/>
    </row>
    <row r="56" spans="1:7" ht="16.5" customHeight="1">
      <c r="A56" s="34" t="s">
        <v>140</v>
      </c>
      <c r="B56" s="382"/>
      <c r="C56" s="384"/>
      <c r="D56" s="119"/>
      <c r="E56" s="119"/>
      <c r="F56" s="446"/>
      <c r="G56" s="447"/>
    </row>
    <row r="57" spans="1:7" ht="14.25" customHeight="1">
      <c r="A57" s="34" t="s">
        <v>142</v>
      </c>
      <c r="B57" s="440" t="s">
        <v>191</v>
      </c>
      <c r="C57" s="441"/>
      <c r="D57" s="124"/>
      <c r="E57" s="124"/>
      <c r="F57" s="429">
        <f>E28*1%</f>
        <v>2597.8478</v>
      </c>
      <c r="G57" s="429"/>
    </row>
    <row r="58" spans="1:11" ht="15">
      <c r="A58" s="41" t="s">
        <v>25</v>
      </c>
      <c r="B58" s="537" t="s">
        <v>394</v>
      </c>
      <c r="C58" s="538"/>
      <c r="D58" s="119"/>
      <c r="E58" s="119"/>
      <c r="F58" s="539">
        <f>SUM(F59:F62)</f>
        <v>557094.5</v>
      </c>
      <c r="G58" s="540"/>
      <c r="H58" s="67"/>
      <c r="I58" s="67"/>
      <c r="J58" s="67"/>
      <c r="K58" s="67"/>
    </row>
    <row r="59" spans="1:11" ht="15">
      <c r="A59" s="34" t="s">
        <v>312</v>
      </c>
      <c r="B59" s="427" t="s">
        <v>322</v>
      </c>
      <c r="C59" s="428"/>
      <c r="D59" s="119"/>
      <c r="E59" s="119"/>
      <c r="F59" s="431">
        <f>35000*12</f>
        <v>420000</v>
      </c>
      <c r="G59" s="431"/>
      <c r="H59" s="67"/>
      <c r="I59" s="67"/>
      <c r="J59" s="67"/>
      <c r="K59" s="67"/>
    </row>
    <row r="60" spans="1:11" ht="15">
      <c r="A60" s="34" t="s">
        <v>313</v>
      </c>
      <c r="B60" s="363" t="s">
        <v>384</v>
      </c>
      <c r="C60" s="123"/>
      <c r="D60" s="349" t="s">
        <v>236</v>
      </c>
      <c r="E60" s="349">
        <v>1</v>
      </c>
      <c r="F60" s="431">
        <v>104131.5</v>
      </c>
      <c r="G60" s="431"/>
      <c r="H60" s="67"/>
      <c r="I60" s="67"/>
      <c r="J60" s="67"/>
      <c r="K60" s="67"/>
    </row>
    <row r="61" spans="1:11" ht="15">
      <c r="A61" s="34" t="s">
        <v>320</v>
      </c>
      <c r="B61" s="363" t="s">
        <v>616</v>
      </c>
      <c r="C61" s="123"/>
      <c r="D61" s="349" t="s">
        <v>236</v>
      </c>
      <c r="E61" s="349">
        <v>1</v>
      </c>
      <c r="F61" s="431">
        <v>21670</v>
      </c>
      <c r="G61" s="431"/>
      <c r="H61" s="67"/>
      <c r="I61" s="67"/>
      <c r="J61" s="67"/>
      <c r="K61" s="67"/>
    </row>
    <row r="62" spans="1:11" ht="15">
      <c r="A62" s="34" t="s">
        <v>321</v>
      </c>
      <c r="B62" s="427" t="s">
        <v>614</v>
      </c>
      <c r="C62" s="428"/>
      <c r="D62" s="349" t="s">
        <v>236</v>
      </c>
      <c r="E62" s="349">
        <v>1</v>
      </c>
      <c r="F62" s="431">
        <v>11293</v>
      </c>
      <c r="G62" s="431"/>
      <c r="H62" s="67"/>
      <c r="I62" s="67"/>
      <c r="J62" s="67"/>
      <c r="K62" s="67"/>
    </row>
    <row r="63" spans="1:11" ht="15">
      <c r="A63" s="67"/>
      <c r="B63" s="67"/>
      <c r="C63" s="126"/>
      <c r="D63" s="67"/>
      <c r="E63" s="67"/>
      <c r="F63" s="67"/>
      <c r="G63" s="67"/>
      <c r="H63" s="67"/>
      <c r="I63" s="67"/>
      <c r="J63" s="67"/>
      <c r="K63" s="67"/>
    </row>
    <row r="64" spans="1:11" ht="15">
      <c r="A64" s="67"/>
      <c r="B64" s="67" t="s">
        <v>49</v>
      </c>
      <c r="C64" s="67"/>
      <c r="D64" s="67"/>
      <c r="E64" s="67" t="s">
        <v>90</v>
      </c>
      <c r="F64" s="67"/>
      <c r="G64" s="67"/>
      <c r="H64" s="67"/>
      <c r="I64" s="67"/>
      <c r="J64" s="67"/>
      <c r="K64" s="67"/>
    </row>
    <row r="65" spans="1:6" ht="15">
      <c r="A65" s="67"/>
      <c r="B65" s="67"/>
      <c r="C65" s="67"/>
      <c r="D65" s="67"/>
      <c r="E65" s="127" t="s">
        <v>438</v>
      </c>
      <c r="F65" s="67"/>
    </row>
  </sheetData>
  <sheetProtection/>
  <mergeCells count="50">
    <mergeCell ref="F60:G60"/>
    <mergeCell ref="F55:G55"/>
    <mergeCell ref="F54:G54"/>
    <mergeCell ref="B50:C50"/>
    <mergeCell ref="F61:G61"/>
    <mergeCell ref="B52:C52"/>
    <mergeCell ref="B51:C51"/>
    <mergeCell ref="F50:G50"/>
    <mergeCell ref="F51:G51"/>
    <mergeCell ref="F52:G52"/>
    <mergeCell ref="F57:G57"/>
    <mergeCell ref="B59:C59"/>
    <mergeCell ref="A3:I3"/>
    <mergeCell ref="A4:I4"/>
    <mergeCell ref="A5:K5"/>
    <mergeCell ref="A7:I7"/>
    <mergeCell ref="A12:I12"/>
    <mergeCell ref="A13:I13"/>
    <mergeCell ref="A14:I14"/>
    <mergeCell ref="A36:C36"/>
    <mergeCell ref="A39:B39"/>
    <mergeCell ref="A40:B41"/>
    <mergeCell ref="A42:G42"/>
    <mergeCell ref="A35:F35"/>
    <mergeCell ref="A38:F38"/>
    <mergeCell ref="A15:F15"/>
    <mergeCell ref="B44:C44"/>
    <mergeCell ref="F44:G44"/>
    <mergeCell ref="B45:C45"/>
    <mergeCell ref="F45:G45"/>
    <mergeCell ref="B46:C46"/>
    <mergeCell ref="F46:G46"/>
    <mergeCell ref="B62:C62"/>
    <mergeCell ref="F62:G62"/>
    <mergeCell ref="B58:C58"/>
    <mergeCell ref="F58:G58"/>
    <mergeCell ref="F59:G59"/>
    <mergeCell ref="B49:C49"/>
    <mergeCell ref="F49:G49"/>
    <mergeCell ref="B53:C53"/>
    <mergeCell ref="F56:G56"/>
    <mergeCell ref="B55:C55"/>
    <mergeCell ref="B56:C56"/>
    <mergeCell ref="B57:C57"/>
    <mergeCell ref="B47:C47"/>
    <mergeCell ref="F47:G47"/>
    <mergeCell ref="B48:C48"/>
    <mergeCell ref="F48:G48"/>
    <mergeCell ref="F53:G53"/>
    <mergeCell ref="B54:C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0"/>
  <sheetViews>
    <sheetView zoomScalePageLayoutView="0" workbookViewId="0" topLeftCell="A37">
      <selection activeCell="F42" sqref="F42:G45"/>
    </sheetView>
  </sheetViews>
  <sheetFormatPr defaultColWidth="9.140625" defaultRowHeight="15" outlineLevelCol="1"/>
  <cols>
    <col min="1" max="1" width="5.7109375" style="57" customWidth="1"/>
    <col min="2" max="2" width="49.8515625" style="57" customWidth="1"/>
    <col min="3" max="3" width="13.28125" style="57" customWidth="1"/>
    <col min="4" max="4" width="14.8515625" style="57" customWidth="1"/>
    <col min="5" max="5" width="13.00390625" style="57" customWidth="1"/>
    <col min="6" max="6" width="13.140625" style="57" customWidth="1"/>
    <col min="7" max="7" width="14.57421875" style="57" customWidth="1"/>
    <col min="8" max="10" width="11.57421875" style="57" hidden="1" customWidth="1" outlineLevel="1"/>
    <col min="11" max="11" width="9.140625" style="57" customWidth="1" collapsed="1"/>
    <col min="12" max="12" width="10.00390625" style="57" bestFit="1" customWidth="1"/>
    <col min="13" max="13" width="15.8515625" style="57" customWidth="1"/>
    <col min="14" max="16384" width="9.140625" style="57" customWidth="1"/>
  </cols>
  <sheetData>
    <row r="1" spans="1:10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</row>
    <row r="7" spans="1:9" s="59" customFormat="1" ht="16.5" customHeight="1">
      <c r="A7" s="59" t="s">
        <v>2</v>
      </c>
      <c r="F7" s="60" t="s">
        <v>152</v>
      </c>
      <c r="H7" s="60"/>
      <c r="I7" s="60"/>
    </row>
    <row r="8" spans="1:11" s="59" customFormat="1" ht="12.75">
      <c r="A8" s="59" t="s">
        <v>3</v>
      </c>
      <c r="F8" s="304" t="s">
        <v>491</v>
      </c>
      <c r="H8" s="60">
        <f>106.5+74.4+73.2+51.2+38.4</f>
        <v>343.7</v>
      </c>
      <c r="I8" s="61">
        <v>2173.3</v>
      </c>
      <c r="J8" s="247">
        <f>H8+I8</f>
        <v>2517</v>
      </c>
      <c r="K8" s="255"/>
    </row>
    <row r="9" spans="1:10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</row>
    <row r="10" spans="1:10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</row>
    <row r="11" spans="1:10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</row>
    <row r="12" spans="1:10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  <c r="J12" s="62"/>
    </row>
    <row r="13" spans="1:10" s="67" customFormat="1" ht="15.75" thickBot="1">
      <c r="A13" s="63" t="s">
        <v>280</v>
      </c>
      <c r="B13" s="64"/>
      <c r="C13" s="64"/>
      <c r="D13" s="69"/>
      <c r="E13" s="70"/>
      <c r="F13" s="70"/>
      <c r="G13" s="145">
        <f>'[1]Телевизионная 10'!$G$35</f>
        <v>-18226.859999999997</v>
      </c>
      <c r="H13" s="62"/>
      <c r="I13" s="62"/>
      <c r="J13" s="62"/>
    </row>
    <row r="14" spans="1:10" s="67" customFormat="1" ht="15.75" thickBot="1">
      <c r="A14" s="63" t="s">
        <v>281</v>
      </c>
      <c r="B14" s="64"/>
      <c r="C14" s="64"/>
      <c r="D14" s="69"/>
      <c r="E14" s="70"/>
      <c r="F14" s="70"/>
      <c r="G14" s="65">
        <f>'[1]Телевизионная 10'!$G$36</f>
        <v>172888.2889</v>
      </c>
      <c r="H14" s="62"/>
      <c r="I14" s="62"/>
      <c r="J14" s="62"/>
    </row>
    <row r="15" s="59" customFormat="1" ht="6.75" customHeight="1"/>
    <row r="16" spans="1:7" s="74" customFormat="1" ht="52.5" customHeight="1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13" s="79" customFormat="1" ht="14.25">
      <c r="A17" s="134" t="s">
        <v>14</v>
      </c>
      <c r="B17" s="41" t="s">
        <v>15</v>
      </c>
      <c r="C17" s="136">
        <f>C18+C19+C20+C21</f>
        <v>9.879999999999999</v>
      </c>
      <c r="D17" s="76">
        <v>321542.06</v>
      </c>
      <c r="E17" s="76">
        <v>285715.92</v>
      </c>
      <c r="F17" s="76">
        <f>D17</f>
        <v>321542.06</v>
      </c>
      <c r="G17" s="77">
        <f>D17-E17</f>
        <v>35826.140000000014</v>
      </c>
      <c r="H17" s="78">
        <f>C17</f>
        <v>9.879999999999999</v>
      </c>
      <c r="I17" s="78"/>
      <c r="L17" s="137"/>
      <c r="M17" s="138"/>
    </row>
    <row r="18" spans="1:10" s="59" customFormat="1" ht="15">
      <c r="A18" s="139" t="s">
        <v>16</v>
      </c>
      <c r="B18" s="34" t="s">
        <v>17</v>
      </c>
      <c r="C18" s="99">
        <v>3.46</v>
      </c>
      <c r="D18" s="83">
        <f>D17*J18</f>
        <v>112604.81048582996</v>
      </c>
      <c r="E18" s="83">
        <f>E17*J18</f>
        <v>100058.40923076923</v>
      </c>
      <c r="F18" s="83">
        <f>D18</f>
        <v>112604.81048582996</v>
      </c>
      <c r="G18" s="84">
        <f>D18-E18</f>
        <v>12546.40125506073</v>
      </c>
      <c r="H18" s="78">
        <f>C18</f>
        <v>3.46</v>
      </c>
      <c r="I18" s="78"/>
      <c r="J18" s="59">
        <f>H18/H17</f>
        <v>0.3502024291497976</v>
      </c>
    </row>
    <row r="19" spans="1:10" s="59" customFormat="1" ht="15">
      <c r="A19" s="139" t="s">
        <v>18</v>
      </c>
      <c r="B19" s="34" t="s">
        <v>19</v>
      </c>
      <c r="C19" s="99">
        <v>1.69</v>
      </c>
      <c r="D19" s="83">
        <f>D17*J19</f>
        <v>55000.61552631579</v>
      </c>
      <c r="E19" s="83">
        <f>E17*J19</f>
        <v>48872.46</v>
      </c>
      <c r="F19" s="83">
        <f>D19</f>
        <v>55000.61552631579</v>
      </c>
      <c r="G19" s="84">
        <f>D19-E19</f>
        <v>6128.155526315793</v>
      </c>
      <c r="H19" s="78">
        <f>C19</f>
        <v>1.69</v>
      </c>
      <c r="I19" s="78"/>
      <c r="J19" s="59">
        <f>H19/H17</f>
        <v>0.17105263157894737</v>
      </c>
    </row>
    <row r="20" spans="1:10" s="59" customFormat="1" ht="15">
      <c r="A20" s="139" t="s">
        <v>20</v>
      </c>
      <c r="B20" s="34" t="s">
        <v>21</v>
      </c>
      <c r="C20" s="99">
        <v>1.69</v>
      </c>
      <c r="D20" s="83">
        <f>D17*J20</f>
        <v>55000.61552631579</v>
      </c>
      <c r="E20" s="83">
        <f>E17*J20</f>
        <v>48872.46</v>
      </c>
      <c r="F20" s="83">
        <f>D20</f>
        <v>55000.61552631579</v>
      </c>
      <c r="G20" s="84">
        <f>D20-E20</f>
        <v>6128.155526315793</v>
      </c>
      <c r="H20" s="78">
        <f>C20</f>
        <v>1.69</v>
      </c>
      <c r="I20" s="78"/>
      <c r="J20" s="59">
        <f>H20/H17</f>
        <v>0.17105263157894737</v>
      </c>
    </row>
    <row r="21" spans="1:10" s="59" customFormat="1" ht="15">
      <c r="A21" s="139" t="s">
        <v>22</v>
      </c>
      <c r="B21" s="34" t="s">
        <v>23</v>
      </c>
      <c r="C21" s="99">
        <v>3.04</v>
      </c>
      <c r="D21" s="83">
        <f>D17*J21</f>
        <v>98936.01846153846</v>
      </c>
      <c r="E21" s="83">
        <f>E17*J21</f>
        <v>87912.59076923077</v>
      </c>
      <c r="F21" s="83">
        <f>D21</f>
        <v>98936.01846153846</v>
      </c>
      <c r="G21" s="84">
        <f>D21-E21</f>
        <v>11023.427692307698</v>
      </c>
      <c r="H21" s="78">
        <f>C21</f>
        <v>3.04</v>
      </c>
      <c r="I21" s="78"/>
      <c r="J21" s="59">
        <f>H21/H17</f>
        <v>0.3076923076923077</v>
      </c>
    </row>
    <row r="22" spans="1:7" s="88" customFormat="1" ht="14.25">
      <c r="A22" s="141" t="s">
        <v>25</v>
      </c>
      <c r="B22" s="86" t="s">
        <v>26</v>
      </c>
      <c r="C22" s="97">
        <v>0</v>
      </c>
      <c r="D22" s="87">
        <v>0</v>
      </c>
      <c r="E22" s="87">
        <v>0</v>
      </c>
      <c r="F22" s="87">
        <v>0</v>
      </c>
      <c r="G22" s="77">
        <f aca="true" t="shared" si="0" ref="G22:G31">D22-E22</f>
        <v>0</v>
      </c>
    </row>
    <row r="23" spans="1:7" s="88" customFormat="1" ht="14.25">
      <c r="A23" s="141" t="s">
        <v>27</v>
      </c>
      <c r="B23" s="86" t="s">
        <v>28</v>
      </c>
      <c r="C23" s="97">
        <v>0</v>
      </c>
      <c r="D23" s="87">
        <v>0</v>
      </c>
      <c r="E23" s="87">
        <v>0</v>
      </c>
      <c r="F23" s="87">
        <f>D23</f>
        <v>0</v>
      </c>
      <c r="G23" s="77">
        <f t="shared" si="0"/>
        <v>0</v>
      </c>
    </row>
    <row r="24" spans="1:7" s="88" customFormat="1" ht="14.25">
      <c r="A24" s="141" t="s">
        <v>29</v>
      </c>
      <c r="B24" s="86" t="s">
        <v>163</v>
      </c>
      <c r="C24" s="142" t="s">
        <v>333</v>
      </c>
      <c r="D24" s="87">
        <v>0</v>
      </c>
      <c r="E24" s="87">
        <v>0</v>
      </c>
      <c r="F24" s="87">
        <f>D24</f>
        <v>0</v>
      </c>
      <c r="G24" s="77">
        <f t="shared" si="0"/>
        <v>0</v>
      </c>
    </row>
    <row r="25" spans="1:7" s="88" customFormat="1" ht="14.25">
      <c r="A25" s="141" t="s">
        <v>31</v>
      </c>
      <c r="B25" s="86" t="s">
        <v>116</v>
      </c>
      <c r="C25" s="97">
        <v>4.5</v>
      </c>
      <c r="D25" s="87">
        <v>140995.47</v>
      </c>
      <c r="E25" s="87">
        <v>123611.08</v>
      </c>
      <c r="F25" s="87">
        <f>F41</f>
        <v>14558.1108</v>
      </c>
      <c r="G25" s="77">
        <f t="shared" si="0"/>
        <v>17384.39</v>
      </c>
    </row>
    <row r="26" spans="1:7" s="98" customFormat="1" ht="14.25">
      <c r="A26" s="135" t="s">
        <v>33</v>
      </c>
      <c r="B26" s="41" t="s">
        <v>34</v>
      </c>
      <c r="C26" s="46">
        <v>0</v>
      </c>
      <c r="D26" s="77">
        <v>0</v>
      </c>
      <c r="E26" s="77">
        <v>2915.34</v>
      </c>
      <c r="F26" s="87">
        <v>0</v>
      </c>
      <c r="G26" s="77">
        <f t="shared" si="0"/>
        <v>-2915.34</v>
      </c>
    </row>
    <row r="27" spans="1:7" s="98" customFormat="1" ht="14.25">
      <c r="A27" s="135" t="s">
        <v>35</v>
      </c>
      <c r="B27" s="41" t="s">
        <v>36</v>
      </c>
      <c r="C27" s="97"/>
      <c r="D27" s="77">
        <f>SUM(D28:D31)</f>
        <v>1061685.13</v>
      </c>
      <c r="E27" s="77">
        <f>SUM(E28:E31)</f>
        <v>1023468.34</v>
      </c>
      <c r="F27" s="77">
        <f>SUM(F28:F31)</f>
        <v>1061685.13</v>
      </c>
      <c r="G27" s="77">
        <f t="shared" si="0"/>
        <v>38216.78999999992</v>
      </c>
    </row>
    <row r="28" spans="1:7" ht="15">
      <c r="A28" s="140" t="s">
        <v>37</v>
      </c>
      <c r="B28" s="34" t="s">
        <v>174</v>
      </c>
      <c r="C28" s="289" t="s">
        <v>406</v>
      </c>
      <c r="D28" s="84">
        <v>12144.4</v>
      </c>
      <c r="E28" s="84">
        <v>11142.73</v>
      </c>
      <c r="F28" s="84">
        <f>D28</f>
        <v>12144.4</v>
      </c>
      <c r="G28" s="84">
        <f t="shared" si="0"/>
        <v>1001.6700000000001</v>
      </c>
    </row>
    <row r="29" spans="1:7" ht="15">
      <c r="A29" s="140" t="s">
        <v>39</v>
      </c>
      <c r="B29" s="34" t="s">
        <v>138</v>
      </c>
      <c r="C29" s="289" t="s">
        <v>409</v>
      </c>
      <c r="D29" s="84">
        <v>331347.52</v>
      </c>
      <c r="E29" s="84">
        <v>306299.47</v>
      </c>
      <c r="F29" s="84">
        <f>D29</f>
        <v>331347.52</v>
      </c>
      <c r="G29" s="84">
        <f t="shared" si="0"/>
        <v>25048.050000000047</v>
      </c>
    </row>
    <row r="30" spans="1:7" ht="15">
      <c r="A30" s="140" t="s">
        <v>42</v>
      </c>
      <c r="B30" s="34" t="s">
        <v>421</v>
      </c>
      <c r="C30" s="290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7" ht="15">
      <c r="A31" s="140" t="s">
        <v>41</v>
      </c>
      <c r="B31" s="34" t="s">
        <v>43</v>
      </c>
      <c r="C31" s="289" t="s">
        <v>407</v>
      </c>
      <c r="D31" s="84">
        <v>718193.21</v>
      </c>
      <c r="E31" s="84">
        <v>706026.14</v>
      </c>
      <c r="F31" s="84">
        <f>D31</f>
        <v>718193.21</v>
      </c>
      <c r="G31" s="84">
        <f t="shared" si="0"/>
        <v>12167.069999999949</v>
      </c>
    </row>
    <row r="32" spans="1:10" s="102" customFormat="1" ht="24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  <c r="J32" s="101"/>
    </row>
    <row r="33" spans="1:10" s="67" customFormat="1" ht="15.75" thickBot="1">
      <c r="A33" s="391" t="s">
        <v>410</v>
      </c>
      <c r="B33" s="392"/>
      <c r="C33" s="392"/>
      <c r="D33" s="65">
        <v>489076.51</v>
      </c>
      <c r="E33" s="66"/>
      <c r="F33" s="66"/>
      <c r="G33" s="66"/>
      <c r="H33" s="62"/>
      <c r="I33" s="62"/>
      <c r="J33" s="62"/>
    </row>
    <row r="34" spans="1:10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  <c r="J34" s="62"/>
    </row>
    <row r="35" spans="1:10" s="67" customFormat="1" ht="15.75" thickBot="1">
      <c r="A35" s="63" t="s">
        <v>412</v>
      </c>
      <c r="B35" s="64"/>
      <c r="C35" s="64"/>
      <c r="D35" s="69"/>
      <c r="E35" s="70"/>
      <c r="F35" s="70"/>
      <c r="G35" s="145">
        <f>G13+E26-F26</f>
        <v>-15311.519999999997</v>
      </c>
      <c r="H35" s="62"/>
      <c r="I35" s="62"/>
      <c r="J35" s="62"/>
    </row>
    <row r="36" spans="1:10" s="102" customFormat="1" ht="14.25" thickBot="1">
      <c r="A36" s="63" t="s">
        <v>413</v>
      </c>
      <c r="B36" s="64"/>
      <c r="C36" s="64"/>
      <c r="D36" s="69"/>
      <c r="E36" s="70"/>
      <c r="F36" s="70"/>
      <c r="G36" s="145">
        <f>G14+E25-F25</f>
        <v>281941.2581</v>
      </c>
      <c r="H36" s="101"/>
      <c r="I36" s="101"/>
      <c r="J36" s="101"/>
    </row>
    <row r="37" spans="1:10" s="102" customFormat="1" ht="9.75" customHeight="1">
      <c r="A37" s="104"/>
      <c r="B37" s="104"/>
      <c r="C37" s="104"/>
      <c r="D37" s="104"/>
      <c r="E37" s="101"/>
      <c r="F37" s="101"/>
      <c r="G37" s="101"/>
      <c r="H37" s="101"/>
      <c r="I37" s="101"/>
      <c r="J37" s="101"/>
    </row>
    <row r="38" spans="1:10" ht="23.25" customHeight="1">
      <c r="A38" s="377" t="s">
        <v>44</v>
      </c>
      <c r="B38" s="417"/>
      <c r="C38" s="417"/>
      <c r="D38" s="417"/>
      <c r="E38" s="417"/>
      <c r="F38" s="417"/>
      <c r="G38" s="417"/>
      <c r="H38" s="58"/>
      <c r="I38" s="58"/>
      <c r="J38" s="58"/>
    </row>
    <row r="40" spans="1:11" s="74" customFormat="1" ht="28.5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535" t="s">
        <v>46</v>
      </c>
      <c r="G40" s="535"/>
      <c r="H40" s="106"/>
      <c r="I40" s="106"/>
      <c r="J40" s="107"/>
      <c r="K40" s="108"/>
    </row>
    <row r="41" spans="1:11" s="115" customFormat="1" ht="15">
      <c r="A41" s="109" t="s">
        <v>47</v>
      </c>
      <c r="B41" s="403" t="s">
        <v>111</v>
      </c>
      <c r="C41" s="425"/>
      <c r="D41" s="111"/>
      <c r="E41" s="111"/>
      <c r="F41" s="543">
        <f>SUM(F42:G45)</f>
        <v>14558.1108</v>
      </c>
      <c r="G41" s="544"/>
      <c r="H41" s="113"/>
      <c r="I41" s="113"/>
      <c r="J41" s="114"/>
      <c r="K41" s="116"/>
    </row>
    <row r="42" spans="1:11" ht="15">
      <c r="A42" s="34" t="s">
        <v>16</v>
      </c>
      <c r="B42" s="413" t="s">
        <v>612</v>
      </c>
      <c r="C42" s="423"/>
      <c r="D42" s="349" t="s">
        <v>230</v>
      </c>
      <c r="E42" s="353">
        <v>0.01</v>
      </c>
      <c r="F42" s="431">
        <v>10922</v>
      </c>
      <c r="G42" s="431"/>
      <c r="H42" s="40"/>
      <c r="I42" s="40"/>
      <c r="J42" s="40"/>
      <c r="K42" s="120"/>
    </row>
    <row r="43" spans="1:11" ht="15">
      <c r="A43" s="34" t="s">
        <v>18</v>
      </c>
      <c r="B43" s="382" t="s">
        <v>711</v>
      </c>
      <c r="C43" s="384"/>
      <c r="D43" s="119"/>
      <c r="E43" s="122"/>
      <c r="F43" s="429">
        <v>2400</v>
      </c>
      <c r="G43" s="429"/>
      <c r="H43" s="40"/>
      <c r="I43" s="40"/>
      <c r="J43" s="40"/>
      <c r="K43" s="120"/>
    </row>
    <row r="44" spans="1:11" ht="15">
      <c r="A44" s="34" t="s">
        <v>20</v>
      </c>
      <c r="B44" s="382"/>
      <c r="C44" s="384"/>
      <c r="D44" s="119"/>
      <c r="E44" s="122"/>
      <c r="F44" s="429"/>
      <c r="G44" s="429"/>
      <c r="H44" s="40"/>
      <c r="I44" s="40"/>
      <c r="J44" s="40"/>
      <c r="K44" s="120"/>
    </row>
    <row r="45" spans="1:7" s="67" customFormat="1" ht="15">
      <c r="A45" s="34" t="s">
        <v>22</v>
      </c>
      <c r="B45" s="183" t="s">
        <v>191</v>
      </c>
      <c r="C45" s="184"/>
      <c r="D45" s="124"/>
      <c r="E45" s="124"/>
      <c r="F45" s="429">
        <f>E25*1%</f>
        <v>1236.1108000000002</v>
      </c>
      <c r="G45" s="429"/>
    </row>
    <row r="46" s="59" customFormat="1" ht="12.75"/>
    <row r="47" spans="1:7" s="59" customFormat="1" ht="15">
      <c r="A47" s="67" t="s">
        <v>55</v>
      </c>
      <c r="B47" s="67"/>
      <c r="C47" s="126" t="s">
        <v>49</v>
      </c>
      <c r="D47" s="67"/>
      <c r="E47" s="67"/>
      <c r="F47" s="67" t="s">
        <v>90</v>
      </c>
      <c r="G47" s="67"/>
    </row>
    <row r="48" spans="1:7" ht="15">
      <c r="A48" s="67"/>
      <c r="B48" s="67"/>
      <c r="C48" s="126"/>
      <c r="D48" s="67"/>
      <c r="E48" s="67"/>
      <c r="F48" s="127" t="s">
        <v>438</v>
      </c>
      <c r="G48" s="67"/>
    </row>
    <row r="49" spans="1:7" ht="15">
      <c r="A49" s="67" t="s">
        <v>50</v>
      </c>
      <c r="B49" s="67"/>
      <c r="C49" s="126"/>
      <c r="D49" s="67"/>
      <c r="E49" s="67"/>
      <c r="F49" s="67"/>
      <c r="G49" s="67"/>
    </row>
    <row r="50" spans="1:7" ht="15">
      <c r="A50" s="67"/>
      <c r="B50" s="67"/>
      <c r="C50" s="128" t="s">
        <v>51</v>
      </c>
      <c r="D50" s="67"/>
      <c r="E50" s="129"/>
      <c r="F50" s="129"/>
      <c r="G50" s="129"/>
    </row>
  </sheetData>
  <sheetProtection/>
  <mergeCells count="21">
    <mergeCell ref="F43:G43"/>
    <mergeCell ref="B42:C42"/>
    <mergeCell ref="B44:C44"/>
    <mergeCell ref="F42:G42"/>
    <mergeCell ref="B43:C43"/>
    <mergeCell ref="A1:J1"/>
    <mergeCell ref="A2:J2"/>
    <mergeCell ref="A3:J3"/>
    <mergeCell ref="A5:J5"/>
    <mergeCell ref="A9:J9"/>
    <mergeCell ref="A10:J10"/>
    <mergeCell ref="A11:J11"/>
    <mergeCell ref="F45:G45"/>
    <mergeCell ref="A33:C33"/>
    <mergeCell ref="B40:C40"/>
    <mergeCell ref="F40:G40"/>
    <mergeCell ref="B41:C41"/>
    <mergeCell ref="F41:G41"/>
    <mergeCell ref="A38:G38"/>
    <mergeCell ref="F44:G44"/>
    <mergeCell ref="A32:F32"/>
  </mergeCells>
  <printOptions/>
  <pageMargins left="0.7" right="0.7" top="0.75" bottom="0.75" header="0.3" footer="0.3"/>
  <pageSetup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7030A0"/>
  </sheetPr>
  <dimension ref="A1:L48"/>
  <sheetViews>
    <sheetView zoomScalePageLayoutView="0" workbookViewId="0" topLeftCell="A28">
      <selection activeCell="F42" sqref="F42:G42"/>
    </sheetView>
  </sheetViews>
  <sheetFormatPr defaultColWidth="9.140625" defaultRowHeight="15" outlineLevelCol="1"/>
  <cols>
    <col min="1" max="1" width="4.8515625" style="57" customWidth="1"/>
    <col min="2" max="2" width="50.28125" style="57" customWidth="1"/>
    <col min="3" max="3" width="15.8515625" style="57" customWidth="1"/>
    <col min="4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9.140625" style="57" customWidth="1" collapsed="1"/>
    <col min="11" max="11" width="10.00390625" style="57" bestFit="1" customWidth="1"/>
    <col min="12" max="12" width="15.8515625" style="57" customWidth="1"/>
    <col min="13" max="16384" width="9.140625" style="57" customWidth="1"/>
  </cols>
  <sheetData>
    <row r="1" spans="1:9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</row>
    <row r="3" spans="1:9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</row>
    <row r="7" spans="1:8" s="59" customFormat="1" ht="16.5" customHeight="1">
      <c r="A7" s="59" t="s">
        <v>2</v>
      </c>
      <c r="F7" s="60" t="s">
        <v>175</v>
      </c>
      <c r="H7" s="60"/>
    </row>
    <row r="8" spans="1:8" s="59" customFormat="1" ht="12.75">
      <c r="A8" s="59" t="s">
        <v>3</v>
      </c>
      <c r="F8" s="305" t="s">
        <v>278</v>
      </c>
      <c r="H8" s="60"/>
    </row>
    <row r="9" spans="1:9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</row>
    <row r="10" spans="1:9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</row>
    <row r="11" spans="1:9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'[1]Дубрава 1'!$G$35</f>
        <v>34056.41860000002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2" s="79" customFormat="1" ht="14.25">
      <c r="A16" s="75" t="s">
        <v>14</v>
      </c>
      <c r="B16" s="41" t="s">
        <v>15</v>
      </c>
      <c r="C16" s="136">
        <f>C17+C18+C19+C20</f>
        <v>9.879999999999999</v>
      </c>
      <c r="D16" s="76">
        <v>101738.05</v>
      </c>
      <c r="E16" s="76">
        <v>85295.33</v>
      </c>
      <c r="F16" s="76">
        <f>D16</f>
        <v>101738.05</v>
      </c>
      <c r="G16" s="77">
        <f>D16-E16</f>
        <v>16442.72</v>
      </c>
      <c r="H16" s="78">
        <f>C16</f>
        <v>9.879999999999999</v>
      </c>
      <c r="K16" s="137"/>
      <c r="L16" s="138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35628.91224696357</v>
      </c>
      <c r="E17" s="83">
        <f>E16*I17</f>
        <v>29870.631761133605</v>
      </c>
      <c r="F17" s="83">
        <f>D17</f>
        <v>35628.91224696357</v>
      </c>
      <c r="G17" s="84">
        <f>D17-E17</f>
        <v>5758.280485829964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17402.561184210528</v>
      </c>
      <c r="E18" s="83">
        <f>E16*I18</f>
        <v>14589.990657894738</v>
      </c>
      <c r="F18" s="83">
        <f>D18</f>
        <v>17402.561184210528</v>
      </c>
      <c r="G18" s="84">
        <f>D18-E18</f>
        <v>2812.5705263157906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17402.561184210528</v>
      </c>
      <c r="E19" s="83">
        <f>E16*I19</f>
        <v>14589.990657894738</v>
      </c>
      <c r="F19" s="83">
        <f>D19</f>
        <v>17402.561184210528</v>
      </c>
      <c r="G19" s="84">
        <f>D19-E19</f>
        <v>2812.5705263157906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31304.015384615388</v>
      </c>
      <c r="E20" s="83">
        <f>E16*I20</f>
        <v>26244.716923076925</v>
      </c>
      <c r="F20" s="83">
        <f>D20</f>
        <v>31304.015384615388</v>
      </c>
      <c r="G20" s="84">
        <f>D20-E20</f>
        <v>5059.298461538463</v>
      </c>
      <c r="H20" s="78">
        <f>C20</f>
        <v>3.04</v>
      </c>
      <c r="I20" s="59">
        <f>H20/H16</f>
        <v>0.3076923076923077</v>
      </c>
    </row>
    <row r="21" spans="1:7" s="88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1">D21-E21</f>
        <v>0</v>
      </c>
    </row>
    <row r="22" spans="1:7" s="88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</row>
    <row r="23" spans="1:7" s="88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</row>
    <row r="24" spans="1:7" s="88" customFormat="1" ht="14.25">
      <c r="A24" s="86" t="s">
        <v>31</v>
      </c>
      <c r="B24" s="86" t="s">
        <v>116</v>
      </c>
      <c r="C24" s="87">
        <v>1.86</v>
      </c>
      <c r="D24" s="87">
        <v>16394.16</v>
      </c>
      <c r="E24" s="87">
        <v>16057.72</v>
      </c>
      <c r="F24" s="87">
        <f>F40-F26</f>
        <v>122195.3672</v>
      </c>
      <c r="G24" s="77">
        <f t="shared" si="0"/>
        <v>336.4400000000005</v>
      </c>
    </row>
    <row r="25" spans="1:7" s="98" customFormat="1" ht="14.25">
      <c r="A25" s="41" t="s">
        <v>33</v>
      </c>
      <c r="B25" s="41" t="s">
        <v>163</v>
      </c>
      <c r="C25" s="77" t="s">
        <v>334</v>
      </c>
      <c r="D25" s="77">
        <v>0</v>
      </c>
      <c r="E25" s="77">
        <v>0</v>
      </c>
      <c r="F25" s="87">
        <v>0</v>
      </c>
      <c r="G25" s="77">
        <f t="shared" si="0"/>
        <v>0</v>
      </c>
    </row>
    <row r="26" spans="1:7" s="98" customFormat="1" ht="14.25">
      <c r="A26" s="41" t="s">
        <v>35</v>
      </c>
      <c r="B26" s="41" t="s">
        <v>279</v>
      </c>
      <c r="C26" s="77">
        <v>0</v>
      </c>
      <c r="D26" s="77">
        <v>0</v>
      </c>
      <c r="E26" s="77">
        <v>13429.47</v>
      </c>
      <c r="F26" s="87">
        <f>D26</f>
        <v>0</v>
      </c>
      <c r="G26" s="77">
        <f t="shared" si="0"/>
        <v>-13429.47</v>
      </c>
    </row>
    <row r="27" spans="1:7" s="98" customFormat="1" ht="14.25">
      <c r="A27" s="41" t="s">
        <v>35</v>
      </c>
      <c r="B27" s="41" t="s">
        <v>36</v>
      </c>
      <c r="C27" s="77"/>
      <c r="D27" s="77">
        <f>SUM(D28:D31)</f>
        <v>408881.83</v>
      </c>
      <c r="E27" s="77">
        <f>SUM(E28:E31)</f>
        <v>393578.86</v>
      </c>
      <c r="F27" s="77">
        <f>SUM(F28:F31)</f>
        <v>408881.83</v>
      </c>
      <c r="G27" s="77">
        <f t="shared" si="0"/>
        <v>15302.97000000003</v>
      </c>
    </row>
    <row r="28" spans="1:7" ht="15">
      <c r="A28" s="34" t="s">
        <v>37</v>
      </c>
      <c r="B28" s="34" t="s">
        <v>167</v>
      </c>
      <c r="C28" s="289" t="s">
        <v>406</v>
      </c>
      <c r="D28" s="84">
        <v>2715.15</v>
      </c>
      <c r="E28" s="84">
        <v>2652.5</v>
      </c>
      <c r="F28" s="84">
        <f>D28</f>
        <v>2715.15</v>
      </c>
      <c r="G28" s="84">
        <f t="shared" si="0"/>
        <v>62.65000000000009</v>
      </c>
    </row>
    <row r="29" spans="1:7" ht="15">
      <c r="A29" s="34" t="s">
        <v>39</v>
      </c>
      <c r="B29" s="34" t="s">
        <v>138</v>
      </c>
      <c r="C29" s="289" t="s">
        <v>409</v>
      </c>
      <c r="D29" s="84">
        <v>95469.23</v>
      </c>
      <c r="E29" s="84">
        <v>94059.17</v>
      </c>
      <c r="F29" s="84">
        <f>D29</f>
        <v>95469.23</v>
      </c>
      <c r="G29" s="84">
        <f t="shared" si="0"/>
        <v>1410.0599999999977</v>
      </c>
    </row>
    <row r="30" spans="1:7" ht="15">
      <c r="A30" s="34" t="s">
        <v>42</v>
      </c>
      <c r="B30" s="34" t="s">
        <v>421</v>
      </c>
      <c r="C30" s="290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7" ht="15">
      <c r="A31" s="34" t="s">
        <v>41</v>
      </c>
      <c r="B31" s="34" t="s">
        <v>43</v>
      </c>
      <c r="C31" s="289" t="s">
        <v>407</v>
      </c>
      <c r="D31" s="84">
        <v>310697.45</v>
      </c>
      <c r="E31" s="84">
        <v>296867.19</v>
      </c>
      <c r="F31" s="84">
        <f>D31</f>
        <v>310697.45</v>
      </c>
      <c r="G31" s="84">
        <f t="shared" si="0"/>
        <v>13830.26000000001</v>
      </c>
    </row>
    <row r="32" spans="1:9" s="102" customFormat="1" ht="14.2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108420.06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G13+E24-F24+E26-F26</f>
        <v>-58651.75859999997</v>
      </c>
      <c r="H35" s="62"/>
      <c r="I35" s="62"/>
    </row>
    <row r="36" spans="1:9" s="102" customFormat="1" ht="9.75" customHeight="1">
      <c r="A36" s="104"/>
      <c r="B36" s="104"/>
      <c r="C36" s="104"/>
      <c r="D36" s="104"/>
      <c r="E36" s="101"/>
      <c r="F36" s="101"/>
      <c r="G36" s="101"/>
      <c r="H36" s="101"/>
      <c r="I36" s="101"/>
    </row>
    <row r="37" spans="1:9" ht="23.25" customHeight="1">
      <c r="A37" s="377" t="s">
        <v>44</v>
      </c>
      <c r="B37" s="417"/>
      <c r="C37" s="417"/>
      <c r="D37" s="417"/>
      <c r="E37" s="417"/>
      <c r="F37" s="417"/>
      <c r="G37" s="417"/>
      <c r="H37" s="58"/>
      <c r="I37" s="58"/>
    </row>
    <row r="39" spans="1:10" s="74" customFormat="1" ht="37.5" customHeight="1">
      <c r="A39" s="105" t="s">
        <v>11</v>
      </c>
      <c r="B39" s="401" t="s">
        <v>45</v>
      </c>
      <c r="C39" s="420"/>
      <c r="D39" s="105" t="s">
        <v>165</v>
      </c>
      <c r="E39" s="105" t="s">
        <v>164</v>
      </c>
      <c r="F39" s="535" t="s">
        <v>46</v>
      </c>
      <c r="G39" s="535"/>
      <c r="H39" s="106"/>
      <c r="I39" s="107"/>
      <c r="J39" s="108"/>
    </row>
    <row r="40" spans="1:10" s="115" customFormat="1" ht="15">
      <c r="A40" s="109" t="s">
        <v>47</v>
      </c>
      <c r="B40" s="403" t="s">
        <v>111</v>
      </c>
      <c r="C40" s="425"/>
      <c r="D40" s="111"/>
      <c r="E40" s="111"/>
      <c r="F40" s="543">
        <f>SUM(F41:F43)</f>
        <v>122195.3672</v>
      </c>
      <c r="G40" s="544"/>
      <c r="H40" s="113"/>
      <c r="I40" s="114"/>
      <c r="J40" s="116"/>
    </row>
    <row r="41" spans="1:7" s="59" customFormat="1" ht="15">
      <c r="A41" s="34" t="s">
        <v>16</v>
      </c>
      <c r="B41" s="440" t="s">
        <v>191</v>
      </c>
      <c r="C41" s="441"/>
      <c r="D41" s="191"/>
      <c r="E41" s="191"/>
      <c r="F41" s="435">
        <f>E24*1%</f>
        <v>160.5772</v>
      </c>
      <c r="G41" s="435"/>
    </row>
    <row r="42" spans="1:7" s="59" customFormat="1" ht="15">
      <c r="A42" s="34" t="s">
        <v>18</v>
      </c>
      <c r="B42" s="427" t="s">
        <v>611</v>
      </c>
      <c r="C42" s="428"/>
      <c r="D42" s="362" t="s">
        <v>247</v>
      </c>
      <c r="E42" s="362">
        <v>1.4</v>
      </c>
      <c r="F42" s="545">
        <v>122034.79</v>
      </c>
      <c r="G42" s="545"/>
    </row>
    <row r="43" spans="1:7" s="59" customFormat="1" ht="15">
      <c r="A43" s="34" t="s">
        <v>20</v>
      </c>
      <c r="B43" s="440"/>
      <c r="C43" s="441"/>
      <c r="D43" s="191"/>
      <c r="E43" s="191"/>
      <c r="F43" s="435"/>
      <c r="G43" s="435"/>
    </row>
    <row r="44" s="59" customFormat="1" ht="12.75"/>
    <row r="45" spans="1:6" s="67" customFormat="1" ht="15">
      <c r="A45" s="67" t="s">
        <v>55</v>
      </c>
      <c r="C45" s="126" t="s">
        <v>49</v>
      </c>
      <c r="F45" s="67" t="s">
        <v>90</v>
      </c>
    </row>
    <row r="46" spans="1:7" s="59" customFormat="1" ht="15">
      <c r="A46" s="67"/>
      <c r="B46" s="67"/>
      <c r="C46" s="126"/>
      <c r="D46" s="67"/>
      <c r="E46" s="67"/>
      <c r="F46" s="127" t="s">
        <v>438</v>
      </c>
      <c r="G46" s="67"/>
    </row>
    <row r="47" spans="1:9" s="59" customFormat="1" ht="15">
      <c r="A47" s="67" t="s">
        <v>50</v>
      </c>
      <c r="B47" s="67"/>
      <c r="C47" s="126"/>
      <c r="D47" s="67"/>
      <c r="E47" s="67"/>
      <c r="F47" s="67"/>
      <c r="G47" s="67"/>
      <c r="H47" s="157"/>
      <c r="I47" s="157"/>
    </row>
    <row r="48" spans="1:7" s="59" customFormat="1" ht="15">
      <c r="A48" s="67"/>
      <c r="B48" s="67"/>
      <c r="C48" s="128" t="s">
        <v>51</v>
      </c>
      <c r="D48" s="67"/>
      <c r="E48" s="129"/>
      <c r="F48" s="129"/>
      <c r="G48" s="129"/>
    </row>
    <row r="49" s="59" customFormat="1" ht="12.75"/>
  </sheetData>
  <sheetProtection/>
  <mergeCells count="20">
    <mergeCell ref="A10:I10"/>
    <mergeCell ref="F43:G43"/>
    <mergeCell ref="B42:C42"/>
    <mergeCell ref="B43:C43"/>
    <mergeCell ref="B41:C41"/>
    <mergeCell ref="B39:C39"/>
    <mergeCell ref="B40:C40"/>
    <mergeCell ref="F40:G40"/>
    <mergeCell ref="F41:G41"/>
    <mergeCell ref="F42:G42"/>
    <mergeCell ref="A11:I11"/>
    <mergeCell ref="A33:C33"/>
    <mergeCell ref="A37:G37"/>
    <mergeCell ref="A32:F32"/>
    <mergeCell ref="F39:G39"/>
    <mergeCell ref="A1:I1"/>
    <mergeCell ref="A2:I2"/>
    <mergeCell ref="A3:I3"/>
    <mergeCell ref="A5:I5"/>
    <mergeCell ref="A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7030A0"/>
  </sheetPr>
  <dimension ref="A1:P46"/>
  <sheetViews>
    <sheetView zoomScalePageLayoutView="0" workbookViewId="0" topLeftCell="A29">
      <selection activeCell="F42" sqref="F42"/>
    </sheetView>
  </sheetViews>
  <sheetFormatPr defaultColWidth="9.140625" defaultRowHeight="15" outlineLevelCol="1"/>
  <cols>
    <col min="1" max="1" width="4.8515625" style="57" customWidth="1"/>
    <col min="2" max="2" width="48.57421875" style="57" customWidth="1"/>
    <col min="3" max="3" width="15.8515625" style="57" customWidth="1"/>
    <col min="4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2" s="59" customFormat="1" ht="16.5" customHeight="1">
      <c r="A7" s="59" t="s">
        <v>2</v>
      </c>
      <c r="F7" s="60" t="s">
        <v>176</v>
      </c>
      <c r="H7" s="60"/>
      <c r="L7" s="61"/>
    </row>
    <row r="8" spans="1:8" s="59" customFormat="1" ht="12.75">
      <c r="A8" s="59" t="s">
        <v>3</v>
      </c>
      <c r="F8" s="305" t="s">
        <v>294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'[1]Дубрава 2'!$G$34</f>
        <v>114395.89799999999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79" customFormat="1" ht="14.25">
      <c r="A16" s="75" t="s">
        <v>14</v>
      </c>
      <c r="B16" s="41" t="s">
        <v>15</v>
      </c>
      <c r="C16" s="136">
        <f>C17+C18+C19+C20</f>
        <v>9.879999999999999</v>
      </c>
      <c r="D16" s="76">
        <v>94986.84</v>
      </c>
      <c r="E16" s="76">
        <v>82154.62</v>
      </c>
      <c r="F16" s="76">
        <f>D16</f>
        <v>94986.84</v>
      </c>
      <c r="G16" s="77">
        <f>D16-E16</f>
        <v>12832.220000000001</v>
      </c>
      <c r="H16" s="78">
        <f>C16</f>
        <v>9.879999999999999</v>
      </c>
      <c r="O16" s="137"/>
      <c r="P16" s="138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33264.62210526316</v>
      </c>
      <c r="E17" s="83">
        <f>E16*I17</f>
        <v>28770.747489878544</v>
      </c>
      <c r="F17" s="83">
        <f>D17</f>
        <v>33264.62210526316</v>
      </c>
      <c r="G17" s="84">
        <f>D17-E17</f>
        <v>4493.874615384615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16247.74894736842</v>
      </c>
      <c r="E18" s="83">
        <f>E16*I18</f>
        <v>14052.763947368421</v>
      </c>
      <c r="F18" s="83">
        <f>D18</f>
        <v>16247.74894736842</v>
      </c>
      <c r="G18" s="84">
        <f>D18-E18</f>
        <v>2194.9849999999988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16247.74894736842</v>
      </c>
      <c r="E19" s="83">
        <f>E16*I19</f>
        <v>14052.763947368421</v>
      </c>
      <c r="F19" s="83">
        <f>D19</f>
        <v>16247.74894736842</v>
      </c>
      <c r="G19" s="84">
        <f>D19-E19</f>
        <v>2194.9849999999988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29226.72</v>
      </c>
      <c r="E20" s="83">
        <f>E16*I20</f>
        <v>25278.344615384616</v>
      </c>
      <c r="F20" s="83">
        <f>D20</f>
        <v>29226.72</v>
      </c>
      <c r="G20" s="84">
        <f>D20-E20</f>
        <v>3948.375384615385</v>
      </c>
      <c r="H20" s="78">
        <f>C20</f>
        <v>3.04</v>
      </c>
      <c r="I20" s="59">
        <f>H20/H16</f>
        <v>0.3076923076923077</v>
      </c>
    </row>
    <row r="21" spans="1:7" s="88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</row>
    <row r="22" spans="1:7" s="88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</row>
    <row r="23" spans="1:7" s="88" customFormat="1" ht="14.25">
      <c r="A23" s="86" t="s">
        <v>29</v>
      </c>
      <c r="B23" s="86" t="s">
        <v>271</v>
      </c>
      <c r="C23" s="142">
        <v>0</v>
      </c>
      <c r="D23" s="87">
        <v>0</v>
      </c>
      <c r="E23" s="87">
        <v>5160.27</v>
      </c>
      <c r="F23" s="87">
        <v>0</v>
      </c>
      <c r="G23" s="77">
        <f t="shared" si="0"/>
        <v>-5160.27</v>
      </c>
    </row>
    <row r="24" spans="1:7" s="88" customFormat="1" ht="14.25">
      <c r="A24" s="86" t="s">
        <v>31</v>
      </c>
      <c r="B24" s="86" t="s">
        <v>116</v>
      </c>
      <c r="C24" s="87">
        <v>1.86</v>
      </c>
      <c r="D24" s="87">
        <v>17853.84</v>
      </c>
      <c r="E24" s="87">
        <v>15461.1</v>
      </c>
      <c r="F24" s="87">
        <f>F39-F23</f>
        <v>115600.761</v>
      </c>
      <c r="G24" s="77">
        <f t="shared" si="0"/>
        <v>2392.74</v>
      </c>
    </row>
    <row r="25" spans="1:7" s="98" customFormat="1" ht="14.25">
      <c r="A25" s="41" t="s">
        <v>33</v>
      </c>
      <c r="B25" s="41" t="s">
        <v>163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0"/>
        <v>0</v>
      </c>
    </row>
    <row r="26" spans="1:7" s="98" customFormat="1" ht="14.25">
      <c r="A26" s="41" t="s">
        <v>35</v>
      </c>
      <c r="B26" s="41" t="s">
        <v>36</v>
      </c>
      <c r="C26" s="77"/>
      <c r="D26" s="77">
        <f>SUM(D27:D30)</f>
        <v>389811.51</v>
      </c>
      <c r="E26" s="77">
        <f>SUM(E27:E30)</f>
        <v>367083.49</v>
      </c>
      <c r="F26" s="77">
        <f>SUM(F27:F30)</f>
        <v>389811.51</v>
      </c>
      <c r="G26" s="77">
        <f t="shared" si="0"/>
        <v>22728.02000000002</v>
      </c>
    </row>
    <row r="27" spans="1:7" ht="15">
      <c r="A27" s="34" t="s">
        <v>37</v>
      </c>
      <c r="B27" s="34" t="s">
        <v>167</v>
      </c>
      <c r="C27" s="289" t="s">
        <v>406</v>
      </c>
      <c r="D27" s="84">
        <v>2610.61</v>
      </c>
      <c r="E27" s="84">
        <v>2253.71</v>
      </c>
      <c r="F27" s="84">
        <f>D27</f>
        <v>2610.61</v>
      </c>
      <c r="G27" s="84">
        <f t="shared" si="0"/>
        <v>356.9000000000001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81921.66</v>
      </c>
      <c r="E28" s="84">
        <v>74353.1</v>
      </c>
      <c r="F28" s="84">
        <f>D28</f>
        <v>81921.66</v>
      </c>
      <c r="G28" s="84">
        <f t="shared" si="0"/>
        <v>7568.559999999998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305279.24</v>
      </c>
      <c r="E30" s="84">
        <v>290476.68</v>
      </c>
      <c r="F30" s="84">
        <f>D30</f>
        <v>305279.24</v>
      </c>
      <c r="G30" s="84">
        <f t="shared" si="0"/>
        <v>14802.559999999998</v>
      </c>
    </row>
    <row r="31" spans="1:9" s="102" customFormat="1" ht="20.2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322332.8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G13+E24-F24+E23-F23</f>
        <v>19416.506999999994</v>
      </c>
      <c r="H34" s="62"/>
      <c r="I34" s="62"/>
    </row>
    <row r="35" spans="1:13" s="102" customFormat="1" ht="9.75" customHeight="1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1" ht="28.5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</row>
    <row r="38" spans="1:14" s="74" customFormat="1" ht="37.5" customHeight="1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N38" s="108"/>
    </row>
    <row r="39" spans="1:14" s="115" customFormat="1" ht="15">
      <c r="A39" s="109" t="s">
        <v>47</v>
      </c>
      <c r="B39" s="403" t="s">
        <v>111</v>
      </c>
      <c r="C39" s="425"/>
      <c r="D39" s="111"/>
      <c r="E39" s="111"/>
      <c r="F39" s="430">
        <f>SUM(F40:G41)</f>
        <v>115600.761</v>
      </c>
      <c r="G39" s="419"/>
      <c r="H39" s="250"/>
      <c r="I39" s="251"/>
      <c r="N39" s="116"/>
    </row>
    <row r="40" spans="1:7" ht="15">
      <c r="A40" s="34" t="s">
        <v>16</v>
      </c>
      <c r="B40" s="413" t="s">
        <v>611</v>
      </c>
      <c r="C40" s="423"/>
      <c r="D40" s="349" t="s">
        <v>247</v>
      </c>
      <c r="E40" s="349">
        <v>1.3</v>
      </c>
      <c r="F40" s="431">
        <v>115446.15</v>
      </c>
      <c r="G40" s="431"/>
    </row>
    <row r="41" spans="1:7" s="59" customFormat="1" ht="15">
      <c r="A41" s="34" t="s">
        <v>18</v>
      </c>
      <c r="B41" s="183" t="s">
        <v>191</v>
      </c>
      <c r="C41" s="184"/>
      <c r="D41" s="124"/>
      <c r="E41" s="124"/>
      <c r="F41" s="429">
        <f>E24*1%</f>
        <v>154.61100000000002</v>
      </c>
      <c r="G41" s="429"/>
    </row>
    <row r="42" s="59" customFormat="1" ht="12.75"/>
    <row r="43" spans="1:6" s="67" customFormat="1" ht="15">
      <c r="A43" s="67" t="s">
        <v>55</v>
      </c>
      <c r="C43" s="126" t="s">
        <v>49</v>
      </c>
      <c r="F43" s="67" t="s">
        <v>90</v>
      </c>
    </row>
    <row r="44" spans="1:7" s="59" customFormat="1" ht="15">
      <c r="A44" s="67"/>
      <c r="B44" s="67"/>
      <c r="C44" s="126"/>
      <c r="D44" s="67"/>
      <c r="E44" s="67"/>
      <c r="F44" s="127" t="s">
        <v>438</v>
      </c>
      <c r="G44" s="67"/>
    </row>
    <row r="45" spans="1:10" s="59" customFormat="1" ht="15">
      <c r="A45" s="67" t="s">
        <v>50</v>
      </c>
      <c r="B45" s="67"/>
      <c r="C45" s="126"/>
      <c r="D45" s="67"/>
      <c r="E45" s="67"/>
      <c r="F45" s="67"/>
      <c r="G45" s="67"/>
      <c r="H45" s="157"/>
      <c r="I45" s="157"/>
      <c r="J45" s="157"/>
    </row>
    <row r="46" spans="1:7" s="59" customFormat="1" ht="15">
      <c r="A46" s="67"/>
      <c r="B46" s="67"/>
      <c r="C46" s="128" t="s">
        <v>51</v>
      </c>
      <c r="D46" s="67"/>
      <c r="E46" s="129"/>
      <c r="F46" s="129"/>
      <c r="G46" s="129"/>
    </row>
    <row r="47" s="59" customFormat="1" ht="12.75"/>
  </sheetData>
  <sheetProtection/>
  <mergeCells count="17">
    <mergeCell ref="A31:F31"/>
    <mergeCell ref="A10:K10"/>
    <mergeCell ref="A1:K1"/>
    <mergeCell ref="A2:K2"/>
    <mergeCell ref="A3:K3"/>
    <mergeCell ref="A5:K5"/>
    <mergeCell ref="A9:K9"/>
    <mergeCell ref="F41:G41"/>
    <mergeCell ref="B39:C39"/>
    <mergeCell ref="F39:G39"/>
    <mergeCell ref="A11:K11"/>
    <mergeCell ref="A32:C32"/>
    <mergeCell ref="A36:K36"/>
    <mergeCell ref="B38:C38"/>
    <mergeCell ref="F38:G38"/>
    <mergeCell ref="B40:C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54"/>
  <sheetViews>
    <sheetView zoomScalePageLayoutView="0" workbookViewId="0" topLeftCell="A37">
      <selection activeCell="F46" sqref="F46:G46"/>
    </sheetView>
  </sheetViews>
  <sheetFormatPr defaultColWidth="9.140625" defaultRowHeight="15" outlineLevelCol="1"/>
  <cols>
    <col min="1" max="1" width="5.7109375" style="35" customWidth="1"/>
    <col min="2" max="2" width="39.7109375" style="35" customWidth="1"/>
    <col min="3" max="3" width="14.00390625" style="35" customWidth="1"/>
    <col min="4" max="4" width="12.7109375" style="35" customWidth="1"/>
    <col min="5" max="5" width="13.140625" style="35" customWidth="1"/>
    <col min="6" max="6" width="14.57421875" style="35" customWidth="1"/>
    <col min="7" max="7" width="14.421875" style="35" customWidth="1"/>
    <col min="8" max="8" width="10.140625" style="35" hidden="1" customWidth="1" outlineLevel="1"/>
    <col min="9" max="9" width="9.421875" style="35" hidden="1" customWidth="1" outlineLevel="1"/>
    <col min="10" max="10" width="11.28125" style="35" bestFit="1" customWidth="1" collapsed="1"/>
    <col min="11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9" ht="12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</row>
    <row r="4" spans="1:9" ht="12" customHeight="1">
      <c r="A4" s="406" t="s">
        <v>1</v>
      </c>
      <c r="B4" s="405"/>
      <c r="C4" s="405"/>
      <c r="D4" s="405"/>
      <c r="E4" s="405"/>
      <c r="F4" s="405"/>
      <c r="G4" s="405"/>
      <c r="H4" s="405"/>
      <c r="I4" s="405"/>
    </row>
    <row r="5" ht="4.5" customHeight="1"/>
    <row r="6" spans="1:6" s="67" customFormat="1" ht="16.5" customHeight="1">
      <c r="A6" s="67" t="s">
        <v>2</v>
      </c>
      <c r="F6" s="127" t="s">
        <v>58</v>
      </c>
    </row>
    <row r="7" spans="1:6" s="67" customFormat="1" ht="15">
      <c r="A7" s="67" t="s">
        <v>3</v>
      </c>
      <c r="F7" s="127" t="s">
        <v>293</v>
      </c>
    </row>
    <row r="8" s="67" customFormat="1" ht="15"/>
    <row r="9" spans="1:9" s="67" customFormat="1" ht="15">
      <c r="A9" s="378" t="s">
        <v>8</v>
      </c>
      <c r="B9" s="378"/>
      <c r="C9" s="378"/>
      <c r="D9" s="378"/>
      <c r="E9" s="378"/>
      <c r="F9" s="378"/>
      <c r="G9" s="378"/>
      <c r="H9" s="378"/>
      <c r="I9" s="378"/>
    </row>
    <row r="10" spans="1:9" s="67" customFormat="1" ht="1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9" customHeight="1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330</v>
      </c>
      <c r="B13" s="64"/>
      <c r="C13" s="64"/>
      <c r="D13" s="69"/>
      <c r="E13" s="70"/>
      <c r="F13" s="70"/>
      <c r="G13" s="145">
        <f>'[1]Пионерская 15'!$G$35</f>
        <v>94418.54</v>
      </c>
      <c r="H13" s="62"/>
      <c r="I13" s="62"/>
    </row>
    <row r="14" spans="1:9" s="67" customFormat="1" ht="15.75" thickBot="1">
      <c r="A14" s="63" t="s">
        <v>331</v>
      </c>
      <c r="B14" s="64"/>
      <c r="C14" s="64"/>
      <c r="D14" s="69"/>
      <c r="E14" s="70"/>
      <c r="F14" s="70"/>
      <c r="G14" s="145">
        <f>'[1]Пионерская 15'!$G$36</f>
        <v>219339.634</v>
      </c>
      <c r="H14" s="62"/>
      <c r="I14" s="62"/>
    </row>
    <row r="15" s="67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8" s="168" customFormat="1" ht="14.25" customHeight="1">
      <c r="A17" s="75" t="s">
        <v>14</v>
      </c>
      <c r="B17" s="41" t="s">
        <v>15</v>
      </c>
      <c r="C17" s="136">
        <f>C18+C19+C20+C21</f>
        <v>9.879999999999999</v>
      </c>
      <c r="D17" s="76">
        <v>479339.35</v>
      </c>
      <c r="E17" s="76">
        <v>465472.41</v>
      </c>
      <c r="F17" s="76">
        <f>D17</f>
        <v>479339.35</v>
      </c>
      <c r="G17" s="77">
        <f>D17-E17</f>
        <v>13866.940000000002</v>
      </c>
      <c r="H17" s="146">
        <f>C17</f>
        <v>9.879999999999999</v>
      </c>
    </row>
    <row r="18" spans="1:9" s="67" customFormat="1" ht="14.25" customHeight="1">
      <c r="A18" s="81" t="s">
        <v>16</v>
      </c>
      <c r="B18" s="34" t="s">
        <v>17</v>
      </c>
      <c r="C18" s="99">
        <v>3.46</v>
      </c>
      <c r="D18" s="83">
        <f>D17*I18</f>
        <v>167865.80475708502</v>
      </c>
      <c r="E18" s="83">
        <f>E17*I18</f>
        <v>163009.56868421054</v>
      </c>
      <c r="F18" s="83">
        <f>D18</f>
        <v>167865.80475708502</v>
      </c>
      <c r="G18" s="84">
        <f>D18-E18</f>
        <v>4856.2360728744825</v>
      </c>
      <c r="H18" s="146">
        <f>C18</f>
        <v>3.46</v>
      </c>
      <c r="I18" s="67">
        <f>H18/H17</f>
        <v>0.3502024291497976</v>
      </c>
    </row>
    <row r="19" spans="1:9" s="67" customFormat="1" ht="14.25" customHeight="1">
      <c r="A19" s="81" t="s">
        <v>18</v>
      </c>
      <c r="B19" s="34" t="s">
        <v>19</v>
      </c>
      <c r="C19" s="99">
        <v>1.69</v>
      </c>
      <c r="D19" s="83">
        <f>D17*I19</f>
        <v>81992.25723684211</v>
      </c>
      <c r="E19" s="83">
        <f>E17*I19</f>
        <v>79620.28065789473</v>
      </c>
      <c r="F19" s="83">
        <f>D19</f>
        <v>81992.25723684211</v>
      </c>
      <c r="G19" s="84">
        <f>D19-E19</f>
        <v>2371.976578947375</v>
      </c>
      <c r="H19" s="146">
        <f>C19</f>
        <v>1.69</v>
      </c>
      <c r="I19" s="67">
        <f>H19/H17</f>
        <v>0.17105263157894737</v>
      </c>
    </row>
    <row r="20" spans="1:9" s="67" customFormat="1" ht="14.25" customHeight="1">
      <c r="A20" s="81" t="s">
        <v>20</v>
      </c>
      <c r="B20" s="34" t="s">
        <v>21</v>
      </c>
      <c r="C20" s="99">
        <v>1.69</v>
      </c>
      <c r="D20" s="83">
        <f>D17*I20</f>
        <v>81992.25723684211</v>
      </c>
      <c r="E20" s="83">
        <f>E17*I20</f>
        <v>79620.28065789473</v>
      </c>
      <c r="F20" s="83">
        <f>D20</f>
        <v>81992.25723684211</v>
      </c>
      <c r="G20" s="84">
        <f>D20-E20</f>
        <v>2371.976578947375</v>
      </c>
      <c r="H20" s="146">
        <f>C20</f>
        <v>1.69</v>
      </c>
      <c r="I20" s="67">
        <f>H20/H17</f>
        <v>0.17105263157894737</v>
      </c>
    </row>
    <row r="21" spans="1:9" s="67" customFormat="1" ht="15">
      <c r="A21" s="81" t="s">
        <v>22</v>
      </c>
      <c r="B21" s="34" t="s">
        <v>23</v>
      </c>
      <c r="C21" s="99">
        <v>3.04</v>
      </c>
      <c r="D21" s="83">
        <f>D17*I21</f>
        <v>147489.03076923077</v>
      </c>
      <c r="E21" s="83">
        <f>E17*I21</f>
        <v>143222.28</v>
      </c>
      <c r="F21" s="83">
        <f>D21</f>
        <v>147489.03076923077</v>
      </c>
      <c r="G21" s="84">
        <f>D21-E21</f>
        <v>4266.75076923077</v>
      </c>
      <c r="H21" s="146">
        <f>C21</f>
        <v>3.04</v>
      </c>
      <c r="I21" s="67">
        <f>H21/H17</f>
        <v>0.3076923076923077</v>
      </c>
    </row>
    <row r="22" spans="1:7" s="39" customFormat="1" ht="14.25" customHeight="1">
      <c r="A22" s="41" t="s">
        <v>25</v>
      </c>
      <c r="B22" s="141" t="s">
        <v>279</v>
      </c>
      <c r="C22" s="142">
        <v>0</v>
      </c>
      <c r="D22" s="77">
        <v>0</v>
      </c>
      <c r="E22" s="77">
        <v>0.01</v>
      </c>
      <c r="F22" s="76">
        <f aca="true" t="shared" si="0" ref="F22:F31">D22</f>
        <v>0</v>
      </c>
      <c r="G22" s="77">
        <f aca="true" t="shared" si="1" ref="G22:G31">D22-E22</f>
        <v>-0.01</v>
      </c>
    </row>
    <row r="23" spans="1:7" s="39" customFormat="1" ht="14.25" customHeight="1">
      <c r="A23" s="41" t="s">
        <v>27</v>
      </c>
      <c r="B23" s="141" t="s">
        <v>28</v>
      </c>
      <c r="C23" s="142">
        <v>0</v>
      </c>
      <c r="D23" s="77">
        <v>0</v>
      </c>
      <c r="E23" s="77">
        <v>0</v>
      </c>
      <c r="F23" s="76">
        <f>D23</f>
        <v>0</v>
      </c>
      <c r="G23" s="77">
        <f t="shared" si="1"/>
        <v>0</v>
      </c>
    </row>
    <row r="24" spans="1:9" s="39" customFormat="1" ht="14.25" customHeight="1">
      <c r="A24" s="41" t="s">
        <v>29</v>
      </c>
      <c r="B24" s="141" t="s">
        <v>163</v>
      </c>
      <c r="C24" s="142" t="s">
        <v>334</v>
      </c>
      <c r="D24" s="77">
        <v>0</v>
      </c>
      <c r="E24" s="77">
        <v>0</v>
      </c>
      <c r="F24" s="76">
        <f t="shared" si="0"/>
        <v>0</v>
      </c>
      <c r="G24" s="77">
        <f t="shared" si="1"/>
        <v>0</v>
      </c>
      <c r="H24" s="39">
        <f>39.62+1902.11</f>
        <v>1941.7299999999998</v>
      </c>
      <c r="I24" s="39">
        <f>H24/3919.4</f>
        <v>0.4954151145583507</v>
      </c>
    </row>
    <row r="25" spans="1:10" s="39" customFormat="1" ht="14.25" customHeight="1">
      <c r="A25" s="41" t="s">
        <v>31</v>
      </c>
      <c r="B25" s="141" t="s">
        <v>116</v>
      </c>
      <c r="C25" s="97">
        <v>1.86</v>
      </c>
      <c r="D25" s="77">
        <v>87480.72</v>
      </c>
      <c r="E25" s="77">
        <v>87630.21</v>
      </c>
      <c r="F25" s="76">
        <f>F41</f>
        <v>119373.87210000001</v>
      </c>
      <c r="G25" s="77">
        <f t="shared" si="1"/>
        <v>-149.49000000000524</v>
      </c>
      <c r="J25" s="182"/>
    </row>
    <row r="26" spans="1:7" s="39" customFormat="1" ht="14.25" customHeight="1">
      <c r="A26" s="41" t="s">
        <v>33</v>
      </c>
      <c r="B26" s="135" t="s">
        <v>34</v>
      </c>
      <c r="C26" s="46">
        <v>0</v>
      </c>
      <c r="D26" s="77">
        <v>0</v>
      </c>
      <c r="E26" s="77">
        <v>0.01</v>
      </c>
      <c r="F26" s="76">
        <f>D26</f>
        <v>0</v>
      </c>
      <c r="G26" s="77">
        <f t="shared" si="1"/>
        <v>-0.01</v>
      </c>
    </row>
    <row r="27" spans="1:7" s="39" customFormat="1" ht="14.25" customHeight="1">
      <c r="A27" s="41" t="s">
        <v>35</v>
      </c>
      <c r="B27" s="135" t="s">
        <v>36</v>
      </c>
      <c r="C27" s="97"/>
      <c r="D27" s="77">
        <f>SUM(D28:D31)</f>
        <v>1905932.8599999999</v>
      </c>
      <c r="E27" s="77">
        <f>SUM(E28:E31)</f>
        <v>1908763.71</v>
      </c>
      <c r="F27" s="76">
        <f t="shared" si="0"/>
        <v>1905932.8599999999</v>
      </c>
      <c r="G27" s="77">
        <f t="shared" si="1"/>
        <v>-2830.850000000093</v>
      </c>
    </row>
    <row r="28" spans="1:7" ht="14.25" customHeight="1">
      <c r="A28" s="34" t="s">
        <v>37</v>
      </c>
      <c r="B28" s="34" t="s">
        <v>167</v>
      </c>
      <c r="C28" s="289" t="s">
        <v>406</v>
      </c>
      <c r="D28" s="84">
        <v>45212.65</v>
      </c>
      <c r="E28" s="84">
        <v>45160.25</v>
      </c>
      <c r="F28" s="83">
        <f>D28</f>
        <v>45212.65</v>
      </c>
      <c r="G28" s="84">
        <f t="shared" si="1"/>
        <v>52.400000000001455</v>
      </c>
    </row>
    <row r="29" spans="1:7" ht="14.25" customHeight="1">
      <c r="A29" s="34" t="s">
        <v>39</v>
      </c>
      <c r="B29" s="34" t="s">
        <v>138</v>
      </c>
      <c r="C29" s="289" t="s">
        <v>409</v>
      </c>
      <c r="D29" s="84">
        <v>505507.77</v>
      </c>
      <c r="E29" s="84">
        <v>507941.96</v>
      </c>
      <c r="F29" s="83">
        <f t="shared" si="0"/>
        <v>505507.77</v>
      </c>
      <c r="G29" s="84">
        <f t="shared" si="1"/>
        <v>-2434.1900000000023</v>
      </c>
    </row>
    <row r="30" spans="1:7" ht="14.25" customHeight="1">
      <c r="A30" s="34" t="s">
        <v>42</v>
      </c>
      <c r="B30" s="34" t="s">
        <v>40</v>
      </c>
      <c r="C30" s="290">
        <v>0</v>
      </c>
      <c r="D30" s="84">
        <v>0</v>
      </c>
      <c r="E30" s="84">
        <v>0</v>
      </c>
      <c r="F30" s="83">
        <f t="shared" si="0"/>
        <v>0</v>
      </c>
      <c r="G30" s="84">
        <f t="shared" si="1"/>
        <v>0</v>
      </c>
    </row>
    <row r="31" spans="1:7" ht="14.25" customHeight="1">
      <c r="A31" s="34" t="s">
        <v>41</v>
      </c>
      <c r="B31" s="34" t="s">
        <v>43</v>
      </c>
      <c r="C31" s="289" t="s">
        <v>407</v>
      </c>
      <c r="D31" s="84">
        <v>1355212.44</v>
      </c>
      <c r="E31" s="84">
        <v>1355661.5</v>
      </c>
      <c r="F31" s="83">
        <f t="shared" si="0"/>
        <v>1355212.44</v>
      </c>
      <c r="G31" s="84">
        <f t="shared" si="1"/>
        <v>-449.0600000000559</v>
      </c>
    </row>
    <row r="32" spans="1:9" s="102" customFormat="1" ht="1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415</v>
      </c>
      <c r="B33" s="392"/>
      <c r="C33" s="392"/>
      <c r="D33" s="145">
        <v>487627.18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412</v>
      </c>
      <c r="B35" s="64"/>
      <c r="C35" s="64"/>
      <c r="D35" s="69"/>
      <c r="E35" s="70"/>
      <c r="F35" s="70"/>
      <c r="G35" s="145">
        <f>G13+E26-F26</f>
        <v>94418.54999999999</v>
      </c>
      <c r="H35" s="62"/>
      <c r="I35" s="62"/>
    </row>
    <row r="36" spans="1:9" s="67" customFormat="1" ht="15.75" thickBot="1">
      <c r="A36" s="63" t="s">
        <v>413</v>
      </c>
      <c r="B36" s="64"/>
      <c r="C36" s="64"/>
      <c r="D36" s="69"/>
      <c r="E36" s="70"/>
      <c r="F36" s="70"/>
      <c r="G36" s="145">
        <f>G14+E25+F25</f>
        <v>426343.71609999996</v>
      </c>
      <c r="H36" s="62"/>
      <c r="I36" s="62"/>
    </row>
    <row r="37" spans="1:9" s="67" customFormat="1" ht="15">
      <c r="A37" s="68"/>
      <c r="B37" s="68"/>
      <c r="C37" s="68"/>
      <c r="D37" s="40"/>
      <c r="E37" s="66"/>
      <c r="F37" s="66"/>
      <c r="G37" s="40"/>
      <c r="H37" s="62"/>
      <c r="I37" s="62"/>
    </row>
    <row r="38" spans="1:9" ht="31.5" customHeight="1">
      <c r="A38" s="377" t="s">
        <v>44</v>
      </c>
      <c r="B38" s="417"/>
      <c r="C38" s="417"/>
      <c r="D38" s="417"/>
      <c r="E38" s="417"/>
      <c r="F38" s="417"/>
      <c r="G38" s="417"/>
      <c r="H38" s="58"/>
      <c r="I38" s="58"/>
    </row>
    <row r="39" ht="9" customHeight="1"/>
    <row r="40" spans="1:7" s="172" customFormat="1" ht="28.5" customHeight="1">
      <c r="A40" s="105" t="s">
        <v>11</v>
      </c>
      <c r="B40" s="177" t="s">
        <v>45</v>
      </c>
      <c r="C40" s="178"/>
      <c r="D40" s="105" t="s">
        <v>165</v>
      </c>
      <c r="E40" s="105" t="s">
        <v>164</v>
      </c>
      <c r="F40" s="401" t="s">
        <v>46</v>
      </c>
      <c r="G40" s="419"/>
    </row>
    <row r="41" spans="1:7" s="115" customFormat="1" ht="15" customHeight="1">
      <c r="A41" s="109">
        <v>1</v>
      </c>
      <c r="B41" s="403" t="s">
        <v>111</v>
      </c>
      <c r="C41" s="425"/>
      <c r="D41" s="109"/>
      <c r="E41" s="109"/>
      <c r="F41" s="430">
        <f>SUM(F42:G46)</f>
        <v>119373.87210000001</v>
      </c>
      <c r="G41" s="419"/>
    </row>
    <row r="42" spans="1:7" ht="34.5" customHeight="1">
      <c r="A42" s="34" t="s">
        <v>16</v>
      </c>
      <c r="B42" s="371" t="s">
        <v>629</v>
      </c>
      <c r="C42" s="184"/>
      <c r="D42" s="350"/>
      <c r="E42" s="352" t="s">
        <v>679</v>
      </c>
      <c r="F42" s="431">
        <v>1650</v>
      </c>
      <c r="G42" s="431"/>
    </row>
    <row r="43" spans="1:7" ht="15.75" customHeight="1">
      <c r="A43" s="34" t="s">
        <v>18</v>
      </c>
      <c r="B43" s="371" t="s">
        <v>680</v>
      </c>
      <c r="C43" s="184"/>
      <c r="D43" s="350" t="s">
        <v>229</v>
      </c>
      <c r="E43" s="352">
        <v>0.23</v>
      </c>
      <c r="F43" s="431">
        <v>50963.31</v>
      </c>
      <c r="G43" s="431"/>
    </row>
    <row r="44" spans="1:7" ht="28.5" customHeight="1">
      <c r="A44" s="34" t="s">
        <v>20</v>
      </c>
      <c r="B44" s="371" t="s">
        <v>681</v>
      </c>
      <c r="C44" s="184"/>
      <c r="D44" s="350" t="s">
        <v>229</v>
      </c>
      <c r="E44" s="352">
        <v>0.8</v>
      </c>
      <c r="F44" s="431">
        <v>36065.26</v>
      </c>
      <c r="G44" s="431"/>
    </row>
    <row r="45" spans="1:7" ht="15.75" customHeight="1">
      <c r="A45" s="34" t="s">
        <v>22</v>
      </c>
      <c r="B45" s="183" t="s">
        <v>170</v>
      </c>
      <c r="C45" s="184"/>
      <c r="D45" s="125"/>
      <c r="E45" s="185"/>
      <c r="F45" s="429">
        <v>29819</v>
      </c>
      <c r="G45" s="429"/>
    </row>
    <row r="46" spans="1:7" ht="15.75" customHeight="1">
      <c r="A46" s="34" t="s">
        <v>24</v>
      </c>
      <c r="B46" s="149" t="s">
        <v>191</v>
      </c>
      <c r="C46" s="150"/>
      <c r="D46" s="119"/>
      <c r="E46" s="119"/>
      <c r="F46" s="429">
        <f>E25*1%</f>
        <v>876.3021000000001</v>
      </c>
      <c r="G46" s="429"/>
    </row>
    <row r="47" spans="1:7" ht="15.75" customHeight="1">
      <c r="A47" s="169"/>
      <c r="B47" s="180"/>
      <c r="C47" s="180"/>
      <c r="D47" s="180"/>
      <c r="E47" s="180"/>
      <c r="F47" s="181"/>
      <c r="G47" s="181"/>
    </row>
    <row r="48" spans="2:5" ht="9" customHeight="1">
      <c r="B48" s="155"/>
      <c r="C48" s="155"/>
      <c r="D48" s="155"/>
      <c r="E48" s="155"/>
    </row>
    <row r="49" spans="1:5" s="67" customFormat="1" ht="15">
      <c r="A49" s="67" t="s">
        <v>55</v>
      </c>
      <c r="C49" s="67" t="s">
        <v>49</v>
      </c>
      <c r="E49" s="67" t="s">
        <v>90</v>
      </c>
    </row>
    <row r="50" s="67" customFormat="1" ht="7.5" customHeight="1"/>
    <row r="51" s="67" customFormat="1" ht="13.5" customHeight="1">
      <c r="F51" s="127" t="s">
        <v>438</v>
      </c>
    </row>
    <row r="52" s="67" customFormat="1" ht="7.5" customHeight="1"/>
    <row r="53" s="67" customFormat="1" ht="15">
      <c r="A53" s="67" t="s">
        <v>50</v>
      </c>
    </row>
    <row r="54" spans="3:7" s="67" customFormat="1" ht="15">
      <c r="C54" s="129" t="s">
        <v>51</v>
      </c>
      <c r="E54" s="129"/>
      <c r="F54" s="129"/>
      <c r="G54" s="129"/>
    </row>
    <row r="55" s="67" customFormat="1" ht="15"/>
    <row r="56" s="67" customFormat="1" ht="15"/>
  </sheetData>
  <sheetProtection/>
  <mergeCells count="18">
    <mergeCell ref="F46:G46"/>
    <mergeCell ref="F42:G42"/>
    <mergeCell ref="F41:G41"/>
    <mergeCell ref="A11:I11"/>
    <mergeCell ref="F40:G40"/>
    <mergeCell ref="A33:C33"/>
    <mergeCell ref="B41:C41"/>
    <mergeCell ref="A38:G38"/>
    <mergeCell ref="F43:G43"/>
    <mergeCell ref="F45:G45"/>
    <mergeCell ref="F44:G44"/>
    <mergeCell ref="A32:F32"/>
    <mergeCell ref="A10:I10"/>
    <mergeCell ref="A1:I1"/>
    <mergeCell ref="A2:I2"/>
    <mergeCell ref="A4:I4"/>
    <mergeCell ref="A9:I9"/>
    <mergeCell ref="A3:I3"/>
  </mergeCells>
  <printOptions/>
  <pageMargins left="0.7874015748031497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A32">
      <selection activeCell="A43" sqref="A43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2" s="59" customFormat="1" ht="16.5" customHeight="1">
      <c r="A7" s="59" t="s">
        <v>2</v>
      </c>
      <c r="F7" s="60" t="s">
        <v>153</v>
      </c>
      <c r="H7" s="60"/>
      <c r="L7" s="61"/>
    </row>
    <row r="8" spans="1:8" s="59" customFormat="1" ht="12.75">
      <c r="A8" s="59" t="s">
        <v>3</v>
      </c>
      <c r="F8" s="305" t="s">
        <v>154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'[1]Дубрава 3'!$G$34</f>
        <v>-1033.8542999999954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28.5">
      <c r="A16" s="75" t="s">
        <v>14</v>
      </c>
      <c r="B16" s="41" t="s">
        <v>15</v>
      </c>
      <c r="C16" s="136">
        <f>C17+C18+C19+C20</f>
        <v>9.879999999999999</v>
      </c>
      <c r="D16" s="76">
        <v>85641.72</v>
      </c>
      <c r="E16" s="76">
        <v>85678.49</v>
      </c>
      <c r="F16" s="76">
        <f>D16</f>
        <v>85641.72</v>
      </c>
      <c r="G16" s="77">
        <f>D16-E16</f>
        <v>-36.770000000004075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29991.938380566804</v>
      </c>
      <c r="E17" s="83">
        <f>E16*I17</f>
        <v>30004.815323886643</v>
      </c>
      <c r="F17" s="83">
        <f>D17</f>
        <v>29991.938380566804</v>
      </c>
      <c r="G17" s="84">
        <f>D17-E17</f>
        <v>-12.876943319839484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14649.241578947369</v>
      </c>
      <c r="E18" s="83">
        <f>E16*I18</f>
        <v>14655.531184210527</v>
      </c>
      <c r="F18" s="83">
        <f>D18</f>
        <v>14649.241578947369</v>
      </c>
      <c r="G18" s="84">
        <f>D18-E18</f>
        <v>-6.289605263158592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14649.241578947369</v>
      </c>
      <c r="E19" s="83">
        <f>E16*I19</f>
        <v>14655.531184210527</v>
      </c>
      <c r="F19" s="83">
        <f>D19</f>
        <v>14649.241578947369</v>
      </c>
      <c r="G19" s="84">
        <f>D19-E19</f>
        <v>-6.289605263158592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26351.298461538463</v>
      </c>
      <c r="E20" s="83">
        <f>E16*I20</f>
        <v>26362.61230769231</v>
      </c>
      <c r="F20" s="83">
        <f>D20</f>
        <v>26351.298461538463</v>
      </c>
      <c r="G20" s="84">
        <f>D20-E20</f>
        <v>-11.313846153847408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16122.84</v>
      </c>
      <c r="E24" s="87">
        <v>16129.81</v>
      </c>
      <c r="F24" s="87">
        <f>F39</f>
        <v>148168.93810000003</v>
      </c>
      <c r="G24" s="77">
        <f t="shared" si="0"/>
        <v>-6.969999999999345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>
        <v>0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111706.15999999999</v>
      </c>
      <c r="E26" s="77">
        <f>SUM(E27:E30)</f>
        <v>110389.84999999999</v>
      </c>
      <c r="F26" s="77">
        <f>SUM(F27:F30)</f>
        <v>111706.15999999999</v>
      </c>
      <c r="G26" s="77">
        <f t="shared" si="0"/>
        <v>1316.3099999999977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2850.26</v>
      </c>
      <c r="E27" s="84">
        <v>2841.48</v>
      </c>
      <c r="F27" s="84">
        <f>D27</f>
        <v>2850.26</v>
      </c>
      <c r="G27" s="84">
        <f t="shared" si="0"/>
        <v>8.7800000000002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108855.9</v>
      </c>
      <c r="E28" s="84">
        <v>107548.37</v>
      </c>
      <c r="F28" s="84">
        <f>D28</f>
        <v>108855.9</v>
      </c>
      <c r="G28" s="84">
        <f t="shared" si="0"/>
        <v>1307.5299999999988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29913.9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-133072.98240000004</v>
      </c>
      <c r="H34" s="62"/>
      <c r="I34" s="62"/>
      <c r="N34" s="146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101"/>
      <c r="M36" s="101"/>
    </row>
    <row r="37" ht="23.25" customHeight="1"/>
    <row r="38" spans="1:11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4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SUM(F40:F42)</f>
        <v>148168.93810000003</v>
      </c>
      <c r="G39" s="419"/>
      <c r="H39" s="250"/>
      <c r="I39" s="251"/>
      <c r="J39" s="115"/>
      <c r="K39" s="115"/>
      <c r="N39" s="108"/>
    </row>
    <row r="40" spans="1:14" s="74" customFormat="1" ht="15">
      <c r="A40" s="34" t="s">
        <v>16</v>
      </c>
      <c r="B40" s="427" t="s">
        <v>611</v>
      </c>
      <c r="C40" s="428"/>
      <c r="D40" s="351" t="s">
        <v>247</v>
      </c>
      <c r="E40" s="351">
        <v>1.76</v>
      </c>
      <c r="F40" s="496">
        <v>148007.64</v>
      </c>
      <c r="G40" s="497"/>
      <c r="H40" s="113"/>
      <c r="I40" s="114"/>
      <c r="J40" s="115"/>
      <c r="K40" s="115"/>
      <c r="N40" s="108"/>
    </row>
    <row r="41" spans="1:14" s="74" customFormat="1" ht="15">
      <c r="A41" s="34" t="s">
        <v>18</v>
      </c>
      <c r="B41" s="427"/>
      <c r="C41" s="428"/>
      <c r="D41" s="195"/>
      <c r="E41" s="195"/>
      <c r="F41" s="498"/>
      <c r="G41" s="419"/>
      <c r="H41" s="113"/>
      <c r="I41" s="114"/>
      <c r="J41" s="115"/>
      <c r="K41" s="115"/>
      <c r="N41" s="108"/>
    </row>
    <row r="42" spans="1:7" s="59" customFormat="1" ht="15">
      <c r="A42" s="34" t="s">
        <v>20</v>
      </c>
      <c r="B42" s="440" t="s">
        <v>191</v>
      </c>
      <c r="C42" s="441"/>
      <c r="D42" s="124"/>
      <c r="E42" s="124"/>
      <c r="F42" s="429">
        <f>E24*1%</f>
        <v>161.2981</v>
      </c>
      <c r="G42" s="429"/>
    </row>
    <row r="43" s="59" customFormat="1" ht="12.75"/>
    <row r="44" spans="1:6" s="67" customFormat="1" ht="15">
      <c r="A44" s="67" t="s">
        <v>55</v>
      </c>
      <c r="C44" s="126" t="s">
        <v>49</v>
      </c>
      <c r="F44" s="67" t="s">
        <v>90</v>
      </c>
    </row>
    <row r="45" spans="1:7" s="59" customFormat="1" ht="15">
      <c r="A45" s="67"/>
      <c r="B45" s="67"/>
      <c r="C45" s="126"/>
      <c r="D45" s="67"/>
      <c r="E45" s="67"/>
      <c r="F45" s="127" t="s">
        <v>438</v>
      </c>
      <c r="G45" s="67"/>
    </row>
    <row r="46" spans="1:10" s="59" customFormat="1" ht="15">
      <c r="A46" s="67" t="s">
        <v>50</v>
      </c>
      <c r="B46" s="67"/>
      <c r="C46" s="126"/>
      <c r="D46" s="67"/>
      <c r="E46" s="67"/>
      <c r="F46" s="67"/>
      <c r="G46" s="67"/>
      <c r="H46" s="157"/>
      <c r="I46" s="157"/>
      <c r="J46" s="157"/>
    </row>
    <row r="47" spans="1:7" s="59" customFormat="1" ht="15">
      <c r="A47" s="67"/>
      <c r="B47" s="67"/>
      <c r="C47" s="128" t="s">
        <v>51</v>
      </c>
      <c r="D47" s="67"/>
      <c r="E47" s="129"/>
      <c r="F47" s="129"/>
      <c r="G47" s="129"/>
    </row>
    <row r="48" s="59" customFormat="1" ht="12.75"/>
  </sheetData>
  <sheetProtection/>
  <mergeCells count="19">
    <mergeCell ref="A1:K1"/>
    <mergeCell ref="A2:K2"/>
    <mergeCell ref="A3:K3"/>
    <mergeCell ref="A5:K5"/>
    <mergeCell ref="A9:K9"/>
    <mergeCell ref="F40:G40"/>
    <mergeCell ref="B39:C39"/>
    <mergeCell ref="F39:G39"/>
    <mergeCell ref="B40:C40"/>
    <mergeCell ref="F41:G41"/>
    <mergeCell ref="A10:K10"/>
    <mergeCell ref="B41:C41"/>
    <mergeCell ref="A11:K11"/>
    <mergeCell ref="F42:G42"/>
    <mergeCell ref="B42:C42"/>
    <mergeCell ref="A32:C32"/>
    <mergeCell ref="A36:K36"/>
    <mergeCell ref="B38:C38"/>
    <mergeCell ref="F38:G38"/>
  </mergeCells>
  <printOptions/>
  <pageMargins left="0.7" right="0.7" top="0.75" bottom="0.75" header="0.3" footer="0.3"/>
  <pageSetup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A37">
      <selection activeCell="F41" sqref="F41:G42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710937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2" s="59" customFormat="1" ht="16.5" customHeight="1">
      <c r="A7" s="59" t="s">
        <v>2</v>
      </c>
      <c r="F7" s="60" t="s">
        <v>177</v>
      </c>
      <c r="H7" s="60"/>
      <c r="L7" s="61"/>
    </row>
    <row r="8" spans="1:8" s="59" customFormat="1" ht="12.75">
      <c r="A8" s="59" t="s">
        <v>3</v>
      </c>
      <c r="F8" s="305" t="s">
        <v>295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'[1]Дубрава 4'!$G$35</f>
        <v>114034.68029999999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28.5">
      <c r="A16" s="75" t="s">
        <v>14</v>
      </c>
      <c r="B16" s="41" t="s">
        <v>15</v>
      </c>
      <c r="C16" s="136">
        <f>C17+C18+C19+C20</f>
        <v>9.879999999999999</v>
      </c>
      <c r="D16" s="76">
        <v>85394.88</v>
      </c>
      <c r="E16" s="76">
        <v>77142.41</v>
      </c>
      <c r="F16" s="76">
        <f>D16</f>
        <v>85394.88</v>
      </c>
      <c r="G16" s="77">
        <f>D16-E16</f>
        <v>8252.470000000001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29905.49441295547</v>
      </c>
      <c r="E17" s="83">
        <f>E16*I17</f>
        <v>27015.45937246964</v>
      </c>
      <c r="F17" s="83">
        <f>D17</f>
        <v>29905.49441295547</v>
      </c>
      <c r="G17" s="84">
        <f>D17-E17</f>
        <v>2890.0350404858327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14607.018947368422</v>
      </c>
      <c r="E18" s="83">
        <f>E16*I18</f>
        <v>13195.412236842107</v>
      </c>
      <c r="F18" s="83">
        <f>D18</f>
        <v>14607.018947368422</v>
      </c>
      <c r="G18" s="84">
        <f>D18-E18</f>
        <v>1411.6067105263155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14607.018947368422</v>
      </c>
      <c r="E19" s="83">
        <f>E16*I19</f>
        <v>13195.412236842107</v>
      </c>
      <c r="F19" s="83">
        <f>D19</f>
        <v>14607.018947368422</v>
      </c>
      <c r="G19" s="84">
        <f>D19-E19</f>
        <v>1411.6067105263155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26275.347692307696</v>
      </c>
      <c r="E20" s="83">
        <f>E16*I20</f>
        <v>23736.126153846155</v>
      </c>
      <c r="F20" s="83">
        <f>D20</f>
        <v>26275.347692307696</v>
      </c>
      <c r="G20" s="84">
        <f>D20-E20</f>
        <v>2539.221538461541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9">
        <v>0</v>
      </c>
      <c r="D21" s="87">
        <v>0</v>
      </c>
      <c r="E21" s="87">
        <v>0</v>
      </c>
      <c r="F21" s="87">
        <v>0</v>
      </c>
      <c r="G21" s="77">
        <f aca="true" t="shared" si="0" ref="G21:G31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5</v>
      </c>
      <c r="D24" s="87">
        <v>43140</v>
      </c>
      <c r="E24" s="87">
        <v>38990.81</v>
      </c>
      <c r="F24" s="87">
        <f>F40</f>
        <v>152291.8181</v>
      </c>
      <c r="G24" s="77">
        <f t="shared" si="0"/>
        <v>4149.190000000002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271</v>
      </c>
      <c r="C26" s="77">
        <v>0</v>
      </c>
      <c r="D26" s="77">
        <v>0</v>
      </c>
      <c r="E26" s="77">
        <v>5346.95</v>
      </c>
      <c r="F26" s="87">
        <v>0</v>
      </c>
      <c r="G26" s="77">
        <f t="shared" si="0"/>
        <v>-5346.95</v>
      </c>
      <c r="H26" s="98"/>
      <c r="I26" s="98"/>
      <c r="J26" s="98"/>
      <c r="K26" s="98"/>
    </row>
    <row r="27" spans="1:11" ht="14.25">
      <c r="A27" s="41" t="s">
        <v>204</v>
      </c>
      <c r="B27" s="41" t="s">
        <v>36</v>
      </c>
      <c r="C27" s="77"/>
      <c r="D27" s="77">
        <f>SUM(D28:D31)</f>
        <v>470815.48</v>
      </c>
      <c r="E27" s="77">
        <f>SUM(E28:E31)</f>
        <v>416205.12</v>
      </c>
      <c r="F27" s="77">
        <f>SUM(F28:F31)</f>
        <v>470815.48</v>
      </c>
      <c r="G27" s="77">
        <f t="shared" si="0"/>
        <v>54610.359999999986</v>
      </c>
      <c r="H27" s="98"/>
      <c r="I27" s="98"/>
      <c r="J27" s="98"/>
      <c r="K27" s="98"/>
    </row>
    <row r="28" spans="1:7" ht="15">
      <c r="A28" s="34" t="s">
        <v>206</v>
      </c>
      <c r="B28" s="34" t="s">
        <v>167</v>
      </c>
      <c r="C28" s="289" t="s">
        <v>406</v>
      </c>
      <c r="D28" s="84">
        <v>2678.56</v>
      </c>
      <c r="E28" s="84">
        <v>2397.63</v>
      </c>
      <c r="F28" s="84">
        <f>D28</f>
        <v>2678.56</v>
      </c>
      <c r="G28" s="84">
        <f t="shared" si="0"/>
        <v>280.92999999999984</v>
      </c>
    </row>
    <row r="29" spans="1:7" ht="15">
      <c r="A29" s="34" t="s">
        <v>207</v>
      </c>
      <c r="B29" s="34" t="s">
        <v>138</v>
      </c>
      <c r="C29" s="289" t="s">
        <v>409</v>
      </c>
      <c r="D29" s="84">
        <v>163789.04</v>
      </c>
      <c r="E29" s="84">
        <v>147359.77</v>
      </c>
      <c r="F29" s="84">
        <f>D29</f>
        <v>163789.04</v>
      </c>
      <c r="G29" s="84">
        <f t="shared" si="0"/>
        <v>16429.27000000002</v>
      </c>
    </row>
    <row r="30" spans="1:7" ht="15">
      <c r="A30" s="34" t="s">
        <v>208</v>
      </c>
      <c r="B30" s="34" t="s">
        <v>421</v>
      </c>
      <c r="C30" s="290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7" ht="15">
      <c r="A31" s="34" t="s">
        <v>209</v>
      </c>
      <c r="B31" s="34" t="s">
        <v>43</v>
      </c>
      <c r="C31" s="289" t="s">
        <v>407</v>
      </c>
      <c r="D31" s="84">
        <v>304347.88</v>
      </c>
      <c r="E31" s="84">
        <v>266447.72</v>
      </c>
      <c r="F31" s="84">
        <f>D31</f>
        <v>304347.88</v>
      </c>
      <c r="G31" s="84">
        <f t="shared" si="0"/>
        <v>37900.16000000003</v>
      </c>
    </row>
    <row r="32" spans="1:9" s="102" customFormat="1" ht="1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525159.95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4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G13+E24-F24+E26-F26</f>
        <v>6080.622200000001</v>
      </c>
      <c r="H35" s="62"/>
      <c r="I35" s="62"/>
      <c r="N35" s="146"/>
    </row>
    <row r="36" spans="1:11" s="67" customFormat="1" ht="1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3" s="102" customFormat="1" ht="25.5" customHeight="1">
      <c r="A37" s="377" t="s">
        <v>44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101"/>
      <c r="M37" s="101"/>
    </row>
    <row r="38" ht="23.25" customHeight="1"/>
    <row r="39" spans="1:11" ht="28.5">
      <c r="A39" s="105" t="s">
        <v>11</v>
      </c>
      <c r="B39" s="401" t="s">
        <v>45</v>
      </c>
      <c r="C39" s="420"/>
      <c r="D39" s="105" t="s">
        <v>165</v>
      </c>
      <c r="E39" s="105" t="s">
        <v>164</v>
      </c>
      <c r="F39" s="401" t="s">
        <v>46</v>
      </c>
      <c r="G39" s="420"/>
      <c r="H39" s="248"/>
      <c r="I39" s="249"/>
      <c r="J39" s="74"/>
      <c r="K39" s="74"/>
    </row>
    <row r="40" spans="1:14" s="74" customFormat="1" ht="15">
      <c r="A40" s="109" t="s">
        <v>47</v>
      </c>
      <c r="B40" s="403" t="s">
        <v>111</v>
      </c>
      <c r="C40" s="425"/>
      <c r="D40" s="111"/>
      <c r="E40" s="111"/>
      <c r="F40" s="430">
        <f>SUM(F41:G42)</f>
        <v>152291.8181</v>
      </c>
      <c r="G40" s="419"/>
      <c r="H40" s="250"/>
      <c r="I40" s="251"/>
      <c r="J40" s="115"/>
      <c r="K40" s="115"/>
      <c r="N40" s="108"/>
    </row>
    <row r="41" spans="1:14" s="115" customFormat="1" ht="15">
      <c r="A41" s="34" t="s">
        <v>16</v>
      </c>
      <c r="B41" s="413" t="s">
        <v>611</v>
      </c>
      <c r="C41" s="423"/>
      <c r="D41" s="349" t="s">
        <v>247</v>
      </c>
      <c r="E41" s="349">
        <v>1.84</v>
      </c>
      <c r="F41" s="451">
        <v>151901.91</v>
      </c>
      <c r="G41" s="452"/>
      <c r="H41" s="40"/>
      <c r="I41" s="40"/>
      <c r="J41" s="57"/>
      <c r="K41" s="57"/>
      <c r="N41" s="116"/>
    </row>
    <row r="42" spans="1:7" s="59" customFormat="1" ht="15">
      <c r="A42" s="34" t="s">
        <v>18</v>
      </c>
      <c r="B42" s="440" t="s">
        <v>191</v>
      </c>
      <c r="C42" s="441"/>
      <c r="D42" s="124"/>
      <c r="E42" s="124"/>
      <c r="F42" s="429">
        <f>E24*1%</f>
        <v>389.9081</v>
      </c>
      <c r="G42" s="429"/>
    </row>
    <row r="43" s="59" customFormat="1" ht="12.75"/>
    <row r="44" spans="1:6" s="67" customFormat="1" ht="15">
      <c r="A44" s="67" t="s">
        <v>55</v>
      </c>
      <c r="C44" s="126" t="s">
        <v>49</v>
      </c>
      <c r="F44" s="67" t="s">
        <v>90</v>
      </c>
    </row>
    <row r="45" spans="1:7" s="59" customFormat="1" ht="15">
      <c r="A45" s="67"/>
      <c r="B45" s="67"/>
      <c r="C45" s="126"/>
      <c r="D45" s="67"/>
      <c r="E45" s="67"/>
      <c r="F45" s="127" t="s">
        <v>438</v>
      </c>
      <c r="G45" s="67"/>
    </row>
    <row r="46" spans="1:10" s="59" customFormat="1" ht="15">
      <c r="A46" s="67" t="s">
        <v>50</v>
      </c>
      <c r="B46" s="67"/>
      <c r="C46" s="126"/>
      <c r="D46" s="67"/>
      <c r="E46" s="67"/>
      <c r="F46" s="67"/>
      <c r="G46" s="67"/>
      <c r="H46" s="157"/>
      <c r="I46" s="157"/>
      <c r="J46" s="157"/>
    </row>
    <row r="47" spans="1:7" s="59" customFormat="1" ht="15">
      <c r="A47" s="67"/>
      <c r="B47" s="67"/>
      <c r="C47" s="128" t="s">
        <v>51</v>
      </c>
      <c r="D47" s="67"/>
      <c r="E47" s="129"/>
      <c r="F47" s="129"/>
      <c r="G47" s="129"/>
    </row>
    <row r="48" s="59" customFormat="1" ht="12.75"/>
  </sheetData>
  <sheetProtection/>
  <mergeCells count="18">
    <mergeCell ref="B39:C39"/>
    <mergeCell ref="A11:K11"/>
    <mergeCell ref="A10:K10"/>
    <mergeCell ref="B40:C40"/>
    <mergeCell ref="A37:K37"/>
    <mergeCell ref="A33:C33"/>
    <mergeCell ref="A32:F32"/>
    <mergeCell ref="F39:G39"/>
    <mergeCell ref="B42:C42"/>
    <mergeCell ref="F42:G42"/>
    <mergeCell ref="B41:C41"/>
    <mergeCell ref="A1:K1"/>
    <mergeCell ref="A2:K2"/>
    <mergeCell ref="A3:K3"/>
    <mergeCell ref="A5:K5"/>
    <mergeCell ref="A9:K9"/>
    <mergeCell ref="F41:G41"/>
    <mergeCell ref="F40:G40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39">
      <selection activeCell="D41" sqref="D41:G41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2" s="59" customFormat="1" ht="16.5" customHeight="1">
      <c r="A7" s="59" t="s">
        <v>2</v>
      </c>
      <c r="F7" s="60" t="s">
        <v>178</v>
      </c>
      <c r="H7" s="60"/>
      <c r="L7" s="61"/>
    </row>
    <row r="8" spans="1:8" s="59" customFormat="1" ht="12.75">
      <c r="A8" s="59" t="s">
        <v>3</v>
      </c>
      <c r="F8" s="305" t="s">
        <v>487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'[1]Дубрава 5'!$G$34</f>
        <v>-25102.692900000002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28.5">
      <c r="A16" s="75" t="s">
        <v>14</v>
      </c>
      <c r="B16" s="41" t="s">
        <v>15</v>
      </c>
      <c r="C16" s="136">
        <f>C17+C18+C19+C20</f>
        <v>9.879999999999999</v>
      </c>
      <c r="D16" s="76">
        <v>73785.7</v>
      </c>
      <c r="E16" s="76">
        <v>72252.19</v>
      </c>
      <c r="F16" s="76">
        <f>D16</f>
        <v>73785.7</v>
      </c>
      <c r="G16" s="77">
        <f>D16-E16</f>
        <v>1533.5099999999948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25839.93137651822</v>
      </c>
      <c r="E17" s="83">
        <f>E16*I17</f>
        <v>25302.892449392715</v>
      </c>
      <c r="F17" s="83">
        <f>D17</f>
        <v>25839.93137651822</v>
      </c>
      <c r="G17" s="84">
        <f>D17-E17</f>
        <v>537.0389271255044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12621.238157894737</v>
      </c>
      <c r="E18" s="83">
        <f>E16*I18</f>
        <v>12358.927236842106</v>
      </c>
      <c r="F18" s="83">
        <f>D18</f>
        <v>12621.238157894737</v>
      </c>
      <c r="G18" s="84">
        <f>D18-E18</f>
        <v>262.3109210526309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12621.238157894737</v>
      </c>
      <c r="E19" s="83">
        <f>E16*I19</f>
        <v>12358.927236842106</v>
      </c>
      <c r="F19" s="83">
        <f>D19</f>
        <v>12621.238157894737</v>
      </c>
      <c r="G19" s="84">
        <f>D19-E19</f>
        <v>262.3109210526309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22703.292307692307</v>
      </c>
      <c r="E20" s="83">
        <f>E16*I20</f>
        <v>22231.44307692308</v>
      </c>
      <c r="F20" s="83">
        <f>D20</f>
        <v>22703.292307692307</v>
      </c>
      <c r="G20" s="84">
        <f>D20-E20</f>
        <v>471.8492307692286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41" t="s">
        <v>271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13890.98</v>
      </c>
      <c r="E24" s="87">
        <v>13602.06</v>
      </c>
      <c r="F24" s="87">
        <f>F39</f>
        <v>140465.11059999999</v>
      </c>
      <c r="G24" s="77">
        <f t="shared" si="0"/>
        <v>288.9200000000001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>
        <v>0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102390.25</v>
      </c>
      <c r="E26" s="77">
        <f>SUM(E27:E30)</f>
        <v>101376.64</v>
      </c>
      <c r="F26" s="77">
        <f>SUM(F27:F30)</f>
        <v>102390.25</v>
      </c>
      <c r="G26" s="77">
        <f t="shared" si="0"/>
        <v>1013.6100000000006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1990.46</v>
      </c>
      <c r="E27" s="84">
        <v>1934.27</v>
      </c>
      <c r="F27" s="84">
        <f>D27</f>
        <v>1990.46</v>
      </c>
      <c r="G27" s="84">
        <f t="shared" si="0"/>
        <v>56.190000000000055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100399.79</v>
      </c>
      <c r="E28" s="84">
        <v>96022.08</v>
      </c>
      <c r="F28" s="84">
        <f>D28</f>
        <v>100399.79</v>
      </c>
      <c r="G28" s="84">
        <f t="shared" si="0"/>
        <v>4377.709999999992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>
        <v>0</v>
      </c>
      <c r="D30" s="84">
        <v>0</v>
      </c>
      <c r="E30" s="84">
        <v>3420.29</v>
      </c>
      <c r="F30" s="84">
        <f>D30</f>
        <v>0</v>
      </c>
      <c r="G30" s="84">
        <f t="shared" si="0"/>
        <v>-3420.29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24624.26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G13+E24-F24+E21-F21</f>
        <v>-151965.74349999998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101"/>
      <c r="M36" s="101"/>
    </row>
    <row r="37" ht="23.25" customHeight="1"/>
    <row r="38" spans="1:11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4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SUM(F40:G43)</f>
        <v>140465.11059999999</v>
      </c>
      <c r="G39" s="419"/>
      <c r="H39" s="250"/>
      <c r="I39" s="251"/>
      <c r="J39" s="115"/>
      <c r="K39" s="115"/>
      <c r="N39" s="108"/>
    </row>
    <row r="40" spans="1:14" s="74" customFormat="1" ht="15">
      <c r="A40" s="34" t="s">
        <v>16</v>
      </c>
      <c r="B40" s="427" t="s">
        <v>610</v>
      </c>
      <c r="C40" s="428"/>
      <c r="D40" s="351" t="s">
        <v>230</v>
      </c>
      <c r="E40" s="351">
        <v>0.02</v>
      </c>
      <c r="F40" s="431">
        <v>8347.85</v>
      </c>
      <c r="G40" s="431"/>
      <c r="H40" s="113"/>
      <c r="I40" s="114"/>
      <c r="J40" s="115"/>
      <c r="K40" s="115"/>
      <c r="N40" s="108"/>
    </row>
    <row r="41" spans="1:14" s="74" customFormat="1" ht="15">
      <c r="A41" s="34" t="s">
        <v>18</v>
      </c>
      <c r="B41" s="427" t="s">
        <v>611</v>
      </c>
      <c r="C41" s="428"/>
      <c r="D41" s="351" t="s">
        <v>247</v>
      </c>
      <c r="E41" s="351">
        <v>1.54</v>
      </c>
      <c r="F41" s="431">
        <v>131981.24</v>
      </c>
      <c r="G41" s="431"/>
      <c r="H41" s="113"/>
      <c r="I41" s="114"/>
      <c r="J41" s="115"/>
      <c r="K41" s="115"/>
      <c r="N41" s="108"/>
    </row>
    <row r="42" spans="1:14" s="74" customFormat="1" ht="15">
      <c r="A42" s="34" t="s">
        <v>20</v>
      </c>
      <c r="B42" s="440"/>
      <c r="C42" s="441"/>
      <c r="D42" s="195"/>
      <c r="E42" s="195"/>
      <c r="F42" s="429"/>
      <c r="G42" s="429"/>
      <c r="H42" s="113"/>
      <c r="I42" s="114"/>
      <c r="J42" s="115"/>
      <c r="K42" s="115"/>
      <c r="N42" s="108"/>
    </row>
    <row r="43" spans="1:7" s="59" customFormat="1" ht="15">
      <c r="A43" s="34" t="s">
        <v>22</v>
      </c>
      <c r="B43" s="440" t="s">
        <v>191</v>
      </c>
      <c r="C43" s="441"/>
      <c r="D43" s="124"/>
      <c r="E43" s="124"/>
      <c r="F43" s="429">
        <f>E24*1%</f>
        <v>136.0206</v>
      </c>
      <c r="G43" s="429"/>
    </row>
    <row r="44" s="59" customFormat="1" ht="12.75"/>
    <row r="45" spans="1:6" s="67" customFormat="1" ht="15">
      <c r="A45" s="67" t="s">
        <v>55</v>
      </c>
      <c r="C45" s="126" t="s">
        <v>49</v>
      </c>
      <c r="F45" s="67" t="s">
        <v>90</v>
      </c>
    </row>
    <row r="46" spans="1:7" s="59" customFormat="1" ht="15">
      <c r="A46" s="67"/>
      <c r="B46" s="67"/>
      <c r="C46" s="126"/>
      <c r="D46" s="67"/>
      <c r="E46" s="67"/>
      <c r="F46" s="127" t="s">
        <v>438</v>
      </c>
      <c r="G46" s="67"/>
    </row>
    <row r="47" spans="1:10" s="59" customFormat="1" ht="15">
      <c r="A47" s="67" t="s">
        <v>50</v>
      </c>
      <c r="B47" s="67"/>
      <c r="C47" s="126"/>
      <c r="D47" s="67"/>
      <c r="E47" s="67"/>
      <c r="F47" s="67"/>
      <c r="G47" s="67"/>
      <c r="H47" s="157"/>
      <c r="I47" s="157"/>
      <c r="J47" s="157"/>
    </row>
    <row r="48" spans="1:7" s="59" customFormat="1" ht="15">
      <c r="A48" s="67"/>
      <c r="B48" s="67"/>
      <c r="C48" s="128" t="s">
        <v>51</v>
      </c>
      <c r="D48" s="67"/>
      <c r="E48" s="129"/>
      <c r="F48" s="129"/>
      <c r="G48" s="129"/>
    </row>
    <row r="49" s="59" customFormat="1" ht="12.75"/>
  </sheetData>
  <sheetProtection/>
  <mergeCells count="21">
    <mergeCell ref="A10:K10"/>
    <mergeCell ref="A1:K1"/>
    <mergeCell ref="A2:K2"/>
    <mergeCell ref="A3:K3"/>
    <mergeCell ref="A5:K5"/>
    <mergeCell ref="A9:K9"/>
    <mergeCell ref="B39:C39"/>
    <mergeCell ref="F39:G39"/>
    <mergeCell ref="A11:K11"/>
    <mergeCell ref="A32:C32"/>
    <mergeCell ref="A36:K36"/>
    <mergeCell ref="B38:C38"/>
    <mergeCell ref="F38:G38"/>
    <mergeCell ref="B43:C43"/>
    <mergeCell ref="F43:G43"/>
    <mergeCell ref="B40:C40"/>
    <mergeCell ref="B41:C41"/>
    <mergeCell ref="B42:C42"/>
    <mergeCell ref="F40:G40"/>
    <mergeCell ref="F41:G41"/>
    <mergeCell ref="F42:G42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7030A0"/>
  </sheetPr>
  <dimension ref="A1:P46"/>
  <sheetViews>
    <sheetView zoomScalePageLayoutView="0" workbookViewId="0" topLeftCell="A35">
      <selection activeCell="A42" sqref="A42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2" s="59" customFormat="1" ht="16.5" customHeight="1">
      <c r="A7" s="59" t="s">
        <v>2</v>
      </c>
      <c r="F7" s="60" t="s">
        <v>179</v>
      </c>
      <c r="H7" s="60"/>
      <c r="L7" s="61"/>
    </row>
    <row r="8" spans="1:8" s="59" customFormat="1" ht="12.75">
      <c r="A8" s="59" t="s">
        <v>3</v>
      </c>
      <c r="F8" s="305" t="s">
        <v>296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'[1]Дубрава 6'!$G$34</f>
        <v>39054.61030000001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28.5">
      <c r="A16" s="75" t="s">
        <v>14</v>
      </c>
      <c r="B16" s="41" t="s">
        <v>15</v>
      </c>
      <c r="C16" s="136">
        <f>C17+C18+C19+C20</f>
        <v>9.879999999999999</v>
      </c>
      <c r="D16" s="76">
        <v>166048.39</v>
      </c>
      <c r="E16" s="76">
        <v>157777.11</v>
      </c>
      <c r="F16" s="76">
        <f>D16</f>
        <v>166048.39</v>
      </c>
      <c r="G16" s="77">
        <f>D16-E16</f>
        <v>8271.280000000028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58150.54953441297</v>
      </c>
      <c r="E17" s="83">
        <f>E16*I17</f>
        <v>55253.92718623482</v>
      </c>
      <c r="F17" s="83">
        <f>D17</f>
        <v>58150.54953441297</v>
      </c>
      <c r="G17" s="84">
        <f>D17-E17</f>
        <v>2896.622348178149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28403.01407894737</v>
      </c>
      <c r="E18" s="83">
        <f>E16*I18</f>
        <v>26988.18986842105</v>
      </c>
      <c r="F18" s="83">
        <f>D18</f>
        <v>28403.01407894737</v>
      </c>
      <c r="G18" s="84">
        <f>D18-E18</f>
        <v>1414.8242105263198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28403.01407894737</v>
      </c>
      <c r="E19" s="83">
        <f>E16*I19</f>
        <v>26988.18986842105</v>
      </c>
      <c r="F19" s="83">
        <f>D19</f>
        <v>28403.01407894737</v>
      </c>
      <c r="G19" s="84">
        <f>D19-E19</f>
        <v>1414.8242105263198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51091.812307692315</v>
      </c>
      <c r="E20" s="83">
        <f>E16*I20</f>
        <v>48546.803076923075</v>
      </c>
      <c r="F20" s="83">
        <f>D20</f>
        <v>51091.812307692315</v>
      </c>
      <c r="G20" s="84">
        <f>D20-E20</f>
        <v>2545.0092307692394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28529.52</v>
      </c>
      <c r="E24" s="87">
        <v>33840.5</v>
      </c>
      <c r="F24" s="87">
        <f>F39</f>
        <v>338.40500000000003</v>
      </c>
      <c r="G24" s="77">
        <f t="shared" si="0"/>
        <v>-5310.98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>
        <v>1902.11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760757.3</v>
      </c>
      <c r="E26" s="77">
        <f>SUM(E27:E30)</f>
        <v>784774.88</v>
      </c>
      <c r="F26" s="77">
        <f>SUM(F27:F30)</f>
        <v>760757.3</v>
      </c>
      <c r="G26" s="77">
        <f t="shared" si="0"/>
        <v>-24017.579999999958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3169.92</v>
      </c>
      <c r="E27" s="84">
        <v>3265.54</v>
      </c>
      <c r="F27" s="84">
        <f>D27</f>
        <v>3169.92</v>
      </c>
      <c r="G27" s="84">
        <f t="shared" si="0"/>
        <v>-95.61999999999989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175208.13</v>
      </c>
      <c r="E28" s="84">
        <v>191077.14</v>
      </c>
      <c r="F28" s="84">
        <f>D28</f>
        <v>175208.13</v>
      </c>
      <c r="G28" s="84">
        <f t="shared" si="0"/>
        <v>-15869.01000000001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582379.25</v>
      </c>
      <c r="E30" s="84">
        <v>590432.2</v>
      </c>
      <c r="F30" s="84">
        <f>D30</f>
        <v>582379.25</v>
      </c>
      <c r="G30" s="84">
        <f t="shared" si="0"/>
        <v>-8052.949999999953</v>
      </c>
    </row>
    <row r="31" spans="1:9" s="102" customFormat="1" ht="17.2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201836.68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72556.7053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101"/>
      <c r="M36" s="101"/>
    </row>
    <row r="37" ht="23.25" customHeight="1"/>
    <row r="38" spans="1:11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4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SUM(F40:G41)</f>
        <v>338.40500000000003</v>
      </c>
      <c r="G39" s="419"/>
      <c r="H39" s="250"/>
      <c r="I39" s="251"/>
      <c r="J39" s="115"/>
      <c r="K39" s="115"/>
      <c r="N39" s="108"/>
    </row>
    <row r="40" spans="1:14" s="115" customFormat="1" ht="15">
      <c r="A40" s="34" t="s">
        <v>16</v>
      </c>
      <c r="B40" s="382"/>
      <c r="C40" s="384"/>
      <c r="D40" s="119"/>
      <c r="E40" s="119"/>
      <c r="F40" s="446"/>
      <c r="G40" s="447"/>
      <c r="H40" s="252"/>
      <c r="I40" s="253"/>
      <c r="J40" s="57"/>
      <c r="K40" s="57"/>
      <c r="N40" s="116"/>
    </row>
    <row r="41" spans="1:7" s="59" customFormat="1" ht="15">
      <c r="A41" s="34" t="s">
        <v>18</v>
      </c>
      <c r="B41" s="440" t="s">
        <v>191</v>
      </c>
      <c r="C41" s="441"/>
      <c r="D41" s="124"/>
      <c r="E41" s="124"/>
      <c r="F41" s="429">
        <f>E24*1%</f>
        <v>338.40500000000003</v>
      </c>
      <c r="G41" s="429"/>
    </row>
    <row r="42" s="59" customFormat="1" ht="12.75"/>
    <row r="43" spans="1:6" s="67" customFormat="1" ht="15">
      <c r="A43" s="67" t="s">
        <v>55</v>
      </c>
      <c r="C43" s="126" t="s">
        <v>49</v>
      </c>
      <c r="F43" s="67" t="s">
        <v>90</v>
      </c>
    </row>
    <row r="44" spans="1:7" s="59" customFormat="1" ht="15">
      <c r="A44" s="67"/>
      <c r="B44" s="67"/>
      <c r="C44" s="126"/>
      <c r="D44" s="67"/>
      <c r="E44" s="67"/>
      <c r="F44" s="127" t="s">
        <v>438</v>
      </c>
      <c r="G44" s="67"/>
    </row>
    <row r="45" spans="1:10" s="59" customFormat="1" ht="15">
      <c r="A45" s="67" t="s">
        <v>50</v>
      </c>
      <c r="B45" s="67"/>
      <c r="C45" s="126"/>
      <c r="D45" s="67"/>
      <c r="E45" s="67"/>
      <c r="F45" s="67"/>
      <c r="G45" s="67"/>
      <c r="H45" s="157"/>
      <c r="I45" s="157"/>
      <c r="J45" s="157"/>
    </row>
    <row r="46" spans="1:7" s="59" customFormat="1" ht="15">
      <c r="A46" s="67"/>
      <c r="B46" s="67"/>
      <c r="C46" s="128" t="s">
        <v>51</v>
      </c>
      <c r="D46" s="67"/>
      <c r="E46" s="129"/>
      <c r="F46" s="129"/>
      <c r="G46" s="129"/>
    </row>
    <row r="47" s="59" customFormat="1" ht="12.75"/>
  </sheetData>
  <sheetProtection/>
  <mergeCells count="18">
    <mergeCell ref="B41:C41"/>
    <mergeCell ref="F41:G41"/>
    <mergeCell ref="A1:K1"/>
    <mergeCell ref="A2:K2"/>
    <mergeCell ref="A3:K3"/>
    <mergeCell ref="A5:K5"/>
    <mergeCell ref="A9:K9"/>
    <mergeCell ref="A10:K10"/>
    <mergeCell ref="A11:K11"/>
    <mergeCell ref="B40:C40"/>
    <mergeCell ref="A31:F31"/>
    <mergeCell ref="F40:G40"/>
    <mergeCell ref="A32:C32"/>
    <mergeCell ref="A36:K36"/>
    <mergeCell ref="B38:C38"/>
    <mergeCell ref="F38:G38"/>
    <mergeCell ref="B39:C39"/>
    <mergeCell ref="F39:G39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32">
      <selection activeCell="F42" sqref="F42:G42"/>
    </sheetView>
  </sheetViews>
  <sheetFormatPr defaultColWidth="9.140625" defaultRowHeight="15" outlineLevelCol="1"/>
  <cols>
    <col min="1" max="1" width="5.8515625" style="57" customWidth="1"/>
    <col min="2" max="2" width="47.003906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2" s="59" customFormat="1" ht="16.5" customHeight="1">
      <c r="A7" s="59" t="s">
        <v>2</v>
      </c>
      <c r="F7" s="60" t="s">
        <v>215</v>
      </c>
      <c r="H7" s="60"/>
      <c r="L7" s="61"/>
    </row>
    <row r="8" spans="1:8" s="59" customFormat="1" ht="12.75">
      <c r="A8" s="59" t="s">
        <v>3</v>
      </c>
      <c r="F8" s="305" t="s">
        <v>297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488</v>
      </c>
      <c r="B13" s="64"/>
      <c r="C13" s="64"/>
      <c r="D13" s="69"/>
      <c r="E13" s="70"/>
      <c r="F13" s="70"/>
      <c r="G13" s="65">
        <f>'[1]Дубрава 7'!$G$34</f>
        <v>17966.2946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28.5">
      <c r="A16" s="75" t="s">
        <v>14</v>
      </c>
      <c r="B16" s="41" t="s">
        <v>15</v>
      </c>
      <c r="C16" s="136">
        <f>C17+C18+C19+C20</f>
        <v>9.879999999999999</v>
      </c>
      <c r="D16" s="76">
        <v>236630.09</v>
      </c>
      <c r="E16" s="76">
        <v>238094.83</v>
      </c>
      <c r="F16" s="76">
        <f>D16</f>
        <v>236630.09</v>
      </c>
      <c r="G16" s="77">
        <f>D16-E16</f>
        <v>-1464.7399999999907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82868.43232793522</v>
      </c>
      <c r="E17" s="83">
        <f>E16*I17</f>
        <v>83381.3878340081</v>
      </c>
      <c r="F17" s="83">
        <f>D17</f>
        <v>82868.43232793522</v>
      </c>
      <c r="G17" s="84">
        <f>D17-E17</f>
        <v>-512.9555060728744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40476.19960526316</v>
      </c>
      <c r="E18" s="83">
        <f>E16*I18</f>
        <v>40726.74723684211</v>
      </c>
      <c r="F18" s="83">
        <f>D18</f>
        <v>40476.19960526316</v>
      </c>
      <c r="G18" s="84">
        <f>D18-E18</f>
        <v>-250.54763157894922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40476.19960526316</v>
      </c>
      <c r="E19" s="83">
        <f>E16*I19</f>
        <v>40726.74723684211</v>
      </c>
      <c r="F19" s="83">
        <f>D19</f>
        <v>40476.19960526316</v>
      </c>
      <c r="G19" s="84">
        <f>D19-E19</f>
        <v>-250.54763157894922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72809.25846153847</v>
      </c>
      <c r="E20" s="83">
        <f>E16*I20</f>
        <v>73259.94769230769</v>
      </c>
      <c r="F20" s="83">
        <f>D20</f>
        <v>72809.25846153847</v>
      </c>
      <c r="G20" s="84">
        <f>D20-E20</f>
        <v>-450.68923076921783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3</v>
      </c>
      <c r="D24" s="87">
        <v>71805.6</v>
      </c>
      <c r="E24" s="87">
        <v>71744.22</v>
      </c>
      <c r="F24" s="87">
        <f>F39</f>
        <v>51017.4422</v>
      </c>
      <c r="G24" s="77">
        <f t="shared" si="0"/>
        <v>61.38000000000466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>
        <v>12.54</v>
      </c>
      <c r="D25" s="77">
        <v>0</v>
      </c>
      <c r="E25" s="77">
        <v>0</v>
      </c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291179.64</v>
      </c>
      <c r="E26" s="77">
        <f>SUM(E27:E30)</f>
        <v>258488.71</v>
      </c>
      <c r="F26" s="77">
        <f>SUM(F27:F30)</f>
        <v>291179.64</v>
      </c>
      <c r="G26" s="77">
        <f t="shared" si="0"/>
        <v>32690.930000000022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4668.49</v>
      </c>
      <c r="E27" s="84">
        <v>890.41</v>
      </c>
      <c r="F27" s="84">
        <f>D27</f>
        <v>4668.49</v>
      </c>
      <c r="G27" s="84">
        <f t="shared" si="0"/>
        <v>3778.08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286511.15</v>
      </c>
      <c r="E28" s="84">
        <v>257598.3</v>
      </c>
      <c r="F28" s="84">
        <f>D28</f>
        <v>286511.15</v>
      </c>
      <c r="G28" s="84">
        <f t="shared" si="0"/>
        <v>28912.850000000035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>
        <v>0</v>
      </c>
      <c r="D30" s="84">
        <v>0</v>
      </c>
      <c r="E30" s="84">
        <v>0</v>
      </c>
      <c r="F30" s="84">
        <f>D30</f>
        <v>0</v>
      </c>
      <c r="G30" s="84">
        <f t="shared" si="0"/>
        <v>0</v>
      </c>
    </row>
    <row r="31" spans="1:9" s="102" customFormat="1" ht="21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235228.58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38693.0724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101"/>
      <c r="M36" s="101"/>
    </row>
    <row r="37" ht="23.25" customHeight="1"/>
    <row r="38" spans="1:11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4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SUM(F40:G43)</f>
        <v>51017.4422</v>
      </c>
      <c r="G39" s="419"/>
      <c r="H39" s="250"/>
      <c r="I39" s="251"/>
      <c r="J39" s="115"/>
      <c r="K39" s="115"/>
      <c r="N39" s="108"/>
    </row>
    <row r="40" spans="1:14" s="115" customFormat="1" ht="15">
      <c r="A40" s="34" t="s">
        <v>16</v>
      </c>
      <c r="B40" s="382" t="s">
        <v>747</v>
      </c>
      <c r="C40" s="432"/>
      <c r="D40" s="119"/>
      <c r="E40" s="153"/>
      <c r="F40" s="429">
        <v>23000</v>
      </c>
      <c r="G40" s="429"/>
      <c r="H40" s="252"/>
      <c r="I40" s="253"/>
      <c r="J40" s="57"/>
      <c r="K40" s="57"/>
      <c r="N40" s="116"/>
    </row>
    <row r="41" spans="1:14" s="115" customFormat="1" ht="15">
      <c r="A41" s="34" t="s">
        <v>18</v>
      </c>
      <c r="B41" s="382" t="s">
        <v>170</v>
      </c>
      <c r="C41" s="432"/>
      <c r="D41" s="119"/>
      <c r="E41" s="153"/>
      <c r="F41" s="429">
        <v>27300</v>
      </c>
      <c r="G41" s="429"/>
      <c r="H41" s="40"/>
      <c r="I41" s="40"/>
      <c r="J41" s="57"/>
      <c r="K41" s="57"/>
      <c r="N41" s="116"/>
    </row>
    <row r="42" spans="1:14" s="115" customFormat="1" ht="15">
      <c r="A42" s="34" t="s">
        <v>20</v>
      </c>
      <c r="B42" s="382"/>
      <c r="C42" s="432"/>
      <c r="D42" s="119"/>
      <c r="E42" s="153"/>
      <c r="F42" s="429"/>
      <c r="G42" s="429"/>
      <c r="H42" s="40"/>
      <c r="I42" s="40"/>
      <c r="J42" s="57"/>
      <c r="K42" s="57"/>
      <c r="N42" s="116"/>
    </row>
    <row r="43" spans="1:7" s="59" customFormat="1" ht="15">
      <c r="A43" s="34" t="s">
        <v>22</v>
      </c>
      <c r="B43" s="440" t="s">
        <v>191</v>
      </c>
      <c r="C43" s="441"/>
      <c r="D43" s="124"/>
      <c r="E43" s="124"/>
      <c r="F43" s="429">
        <f>E24*1%</f>
        <v>717.4422000000001</v>
      </c>
      <c r="G43" s="429"/>
    </row>
    <row r="44" s="59" customFormat="1" ht="12.75"/>
    <row r="45" spans="1:6" s="67" customFormat="1" ht="15">
      <c r="A45" s="67" t="s">
        <v>55</v>
      </c>
      <c r="C45" s="126" t="s">
        <v>49</v>
      </c>
      <c r="F45" s="67" t="s">
        <v>90</v>
      </c>
    </row>
    <row r="46" spans="1:7" s="59" customFormat="1" ht="15">
      <c r="A46" s="67"/>
      <c r="B46" s="67"/>
      <c r="C46" s="126"/>
      <c r="D46" s="67"/>
      <c r="E46" s="67"/>
      <c r="F46" s="127" t="s">
        <v>438</v>
      </c>
      <c r="G46" s="67"/>
    </row>
    <row r="47" spans="1:10" s="59" customFormat="1" ht="15">
      <c r="A47" s="67" t="s">
        <v>50</v>
      </c>
      <c r="B47" s="67"/>
      <c r="C47" s="126"/>
      <c r="D47" s="67"/>
      <c r="E47" s="67"/>
      <c r="F47" s="67"/>
      <c r="G47" s="67"/>
      <c r="H47" s="157"/>
      <c r="I47" s="157"/>
      <c r="J47" s="157"/>
    </row>
    <row r="48" spans="1:7" s="59" customFormat="1" ht="15">
      <c r="A48" s="67"/>
      <c r="B48" s="67"/>
      <c r="C48" s="128" t="s">
        <v>51</v>
      </c>
      <c r="D48" s="67"/>
      <c r="E48" s="129"/>
      <c r="F48" s="129"/>
      <c r="G48" s="129"/>
    </row>
    <row r="49" s="59" customFormat="1" ht="12.75"/>
  </sheetData>
  <sheetProtection/>
  <mergeCells count="22">
    <mergeCell ref="B43:C43"/>
    <mergeCell ref="F43:G43"/>
    <mergeCell ref="B39:C39"/>
    <mergeCell ref="F39:G39"/>
    <mergeCell ref="B40:C40"/>
    <mergeCell ref="F40:G40"/>
    <mergeCell ref="F41:G41"/>
    <mergeCell ref="F42:G42"/>
    <mergeCell ref="B41:C41"/>
    <mergeCell ref="B42:C42"/>
    <mergeCell ref="A11:K11"/>
    <mergeCell ref="A32:C32"/>
    <mergeCell ref="A36:K36"/>
    <mergeCell ref="B38:C38"/>
    <mergeCell ref="F38:G38"/>
    <mergeCell ref="A31:F3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zoomScalePageLayoutView="0" workbookViewId="0" topLeftCell="A35">
      <selection activeCell="F46" sqref="F46:G46"/>
    </sheetView>
  </sheetViews>
  <sheetFormatPr defaultColWidth="9.140625" defaultRowHeight="15" outlineLevelCol="1"/>
  <cols>
    <col min="1" max="1" width="5.8515625" style="57" customWidth="1"/>
    <col min="2" max="2" width="48.28125" style="57" customWidth="1"/>
    <col min="3" max="4" width="14.8515625" style="57" customWidth="1"/>
    <col min="5" max="5" width="12.57421875" style="57" customWidth="1"/>
    <col min="6" max="6" width="12.4218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2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254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3" s="59" customFormat="1" ht="16.5" customHeight="1">
      <c r="A7" s="59" t="s">
        <v>2</v>
      </c>
      <c r="F7" s="60" t="s">
        <v>180</v>
      </c>
      <c r="H7" s="60"/>
      <c r="L7" s="255"/>
      <c r="M7" s="255"/>
    </row>
    <row r="8" spans="1:11" s="59" customFormat="1" ht="12.75">
      <c r="A8" s="59" t="s">
        <v>3</v>
      </c>
      <c r="F8" s="305" t="s">
        <v>350</v>
      </c>
      <c r="H8" s="60"/>
      <c r="J8" s="61">
        <v>110.8</v>
      </c>
      <c r="K8" s="59">
        <f>1903.8+110.8</f>
        <v>2014.6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'[1]Дубрава 9'!$G$34</f>
        <v>107763.99180000002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14.25">
      <c r="A16" s="75" t="s">
        <v>14</v>
      </c>
      <c r="B16" s="41" t="s">
        <v>15</v>
      </c>
      <c r="C16" s="136">
        <f>C17+C18+C19+C20</f>
        <v>9.879999999999999</v>
      </c>
      <c r="D16" s="76">
        <v>225714.88</v>
      </c>
      <c r="E16" s="76">
        <v>232196.28</v>
      </c>
      <c r="F16" s="76">
        <f>D16</f>
        <v>225714.88</v>
      </c>
      <c r="G16" s="77">
        <f>D16-E16</f>
        <v>-6481.399999999994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79045.89927125507</v>
      </c>
      <c r="E17" s="83">
        <f>E16*I17</f>
        <v>81315.70129554656</v>
      </c>
      <c r="F17" s="83">
        <f>D17</f>
        <v>79045.89927125507</v>
      </c>
      <c r="G17" s="84">
        <f>D17-E17</f>
        <v>-2269.8020242914936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38609.124210526315</v>
      </c>
      <c r="E18" s="83">
        <f>E16*I18</f>
        <v>39717.784736842106</v>
      </c>
      <c r="F18" s="83">
        <f>D18</f>
        <v>38609.124210526315</v>
      </c>
      <c r="G18" s="84">
        <f>D18-E18</f>
        <v>-1108.6605263157908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38609.124210526315</v>
      </c>
      <c r="E19" s="83">
        <f>E16*I19</f>
        <v>39717.784736842106</v>
      </c>
      <c r="F19" s="83">
        <f>D19</f>
        <v>38609.124210526315</v>
      </c>
      <c r="G19" s="84">
        <f>D19-E19</f>
        <v>-1108.6605263157908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69450.7323076923</v>
      </c>
      <c r="E20" s="83">
        <f>E16*I20</f>
        <v>71445.00923076924</v>
      </c>
      <c r="F20" s="83">
        <f>D20</f>
        <v>69450.7323076923</v>
      </c>
      <c r="G20" s="84">
        <f>D20-E20</f>
        <v>-1994.2769230769336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42492.84</v>
      </c>
      <c r="E24" s="87">
        <v>38050.28</v>
      </c>
      <c r="F24" s="87">
        <f>F41</f>
        <v>35689.38280000001</v>
      </c>
      <c r="G24" s="77">
        <f t="shared" si="0"/>
        <v>4442.559999999998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>
        <v>0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990822.9099999999</v>
      </c>
      <c r="E26" s="77">
        <f>SUM(E27:E30)</f>
        <v>852433.6599999999</v>
      </c>
      <c r="F26" s="77">
        <f>SUM(F27:F30)</f>
        <v>990822.9099999999</v>
      </c>
      <c r="G26" s="77">
        <f t="shared" si="0"/>
        <v>138389.25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5510.13</v>
      </c>
      <c r="E27" s="84">
        <v>4743.72</v>
      </c>
      <c r="F27" s="84">
        <f>D27</f>
        <v>5510.13</v>
      </c>
      <c r="G27" s="84">
        <f t="shared" si="0"/>
        <v>766.4099999999999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245295.95</v>
      </c>
      <c r="E28" s="84">
        <v>191767.99</v>
      </c>
      <c r="F28" s="84">
        <f>D28</f>
        <v>245295.95</v>
      </c>
      <c r="G28" s="84">
        <f t="shared" si="0"/>
        <v>53527.96000000002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489</v>
      </c>
      <c r="D30" s="84">
        <v>740016.83</v>
      </c>
      <c r="E30" s="84">
        <v>655921.95</v>
      </c>
      <c r="F30" s="84">
        <f>D30</f>
        <v>740016.83</v>
      </c>
      <c r="G30" s="84">
        <f t="shared" si="0"/>
        <v>84094.88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899594.6</v>
      </c>
      <c r="E32" s="66"/>
      <c r="F32" s="66"/>
      <c r="G32" s="66"/>
      <c r="H32" s="62"/>
      <c r="I32" s="62"/>
    </row>
    <row r="33" spans="1:9" s="67" customFormat="1" ht="15.75" thickBot="1">
      <c r="A33" s="63" t="s">
        <v>413</v>
      </c>
      <c r="B33" s="64"/>
      <c r="C33" s="64"/>
      <c r="D33" s="69"/>
      <c r="E33" s="70"/>
      <c r="F33" s="70"/>
      <c r="G33" s="145">
        <f>G13+E24-F24</f>
        <v>110124.88900000001</v>
      </c>
      <c r="H33" s="62"/>
      <c r="I33" s="62"/>
    </row>
    <row r="34" spans="1:9" s="67" customFormat="1" ht="15">
      <c r="A34" s="523" t="s">
        <v>145</v>
      </c>
      <c r="B34" s="523"/>
      <c r="C34" s="68"/>
      <c r="D34" s="40"/>
      <c r="E34" s="66"/>
      <c r="F34" s="66"/>
      <c r="G34" s="40"/>
      <c r="H34" s="62"/>
      <c r="I34" s="62"/>
    </row>
    <row r="35" spans="1:9" s="67" customFormat="1" ht="25.5" customHeight="1">
      <c r="A35" s="492" t="s">
        <v>146</v>
      </c>
      <c r="B35" s="493"/>
      <c r="C35" s="44" t="s">
        <v>147</v>
      </c>
      <c r="D35" s="44" t="s">
        <v>148</v>
      </c>
      <c r="E35" s="45" t="s">
        <v>149</v>
      </c>
      <c r="F35" s="42" t="s">
        <v>150</v>
      </c>
      <c r="G35" s="45" t="s">
        <v>151</v>
      </c>
      <c r="H35" s="62"/>
      <c r="I35" s="62"/>
    </row>
    <row r="36" spans="1:9" s="67" customFormat="1" ht="15">
      <c r="A36" s="494"/>
      <c r="B36" s="495"/>
      <c r="C36" s="298">
        <v>110.8</v>
      </c>
      <c r="D36" s="154">
        <f>E36/12/C36</f>
        <v>11.739981949458484</v>
      </c>
      <c r="E36" s="238">
        <v>15609.48</v>
      </c>
      <c r="F36" s="238">
        <f>14308.69-1300.79</f>
        <v>13007.900000000001</v>
      </c>
      <c r="G36" s="154">
        <f>E36-F36</f>
        <v>2601.579999999998</v>
      </c>
      <c r="H36" s="62"/>
      <c r="I36" s="62"/>
    </row>
    <row r="37" spans="1:11" s="67" customFormat="1" ht="15">
      <c r="A37" s="104"/>
      <c r="B37" s="104"/>
      <c r="C37" s="104"/>
      <c r="D37" s="104"/>
      <c r="E37" s="101"/>
      <c r="F37" s="101"/>
      <c r="G37" s="101"/>
      <c r="H37" s="101"/>
      <c r="I37" s="101"/>
      <c r="J37" s="101"/>
      <c r="K37" s="101"/>
    </row>
    <row r="38" spans="1:13" s="102" customFormat="1" ht="25.5" customHeight="1">
      <c r="A38" s="377" t="s">
        <v>44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101"/>
      <c r="M38" s="101"/>
    </row>
    <row r="40" spans="1:11" ht="28.5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401" t="s">
        <v>46</v>
      </c>
      <c r="G40" s="420"/>
      <c r="H40" s="248"/>
      <c r="I40" s="249"/>
      <c r="J40" s="74"/>
      <c r="K40" s="74"/>
    </row>
    <row r="41" spans="1:14" s="74" customFormat="1" ht="15">
      <c r="A41" s="109" t="s">
        <v>47</v>
      </c>
      <c r="B41" s="403" t="s">
        <v>111</v>
      </c>
      <c r="C41" s="425"/>
      <c r="D41" s="111"/>
      <c r="E41" s="111"/>
      <c r="F41" s="430">
        <f>SUM(F42:G46)</f>
        <v>35689.38280000001</v>
      </c>
      <c r="G41" s="419"/>
      <c r="H41" s="250"/>
      <c r="I41" s="251"/>
      <c r="J41" s="115"/>
      <c r="K41" s="115"/>
      <c r="N41" s="108"/>
    </row>
    <row r="42" spans="1:7" s="59" customFormat="1" ht="15">
      <c r="A42" s="34" t="s">
        <v>16</v>
      </c>
      <c r="B42" s="413" t="s">
        <v>573</v>
      </c>
      <c r="C42" s="423"/>
      <c r="D42" s="349" t="s">
        <v>229</v>
      </c>
      <c r="E42" s="349">
        <v>0.03</v>
      </c>
      <c r="F42" s="451">
        <v>5912.88</v>
      </c>
      <c r="G42" s="452"/>
    </row>
    <row r="43" spans="1:7" s="59" customFormat="1" ht="15">
      <c r="A43" s="34" t="s">
        <v>18</v>
      </c>
      <c r="B43" s="413" t="s">
        <v>162</v>
      </c>
      <c r="C43" s="423"/>
      <c r="D43" s="349" t="s">
        <v>169</v>
      </c>
      <c r="E43" s="349">
        <v>400</v>
      </c>
      <c r="F43" s="451">
        <v>4296</v>
      </c>
      <c r="G43" s="452"/>
    </row>
    <row r="44" spans="1:7" s="59" customFormat="1" ht="15">
      <c r="A44" s="34" t="s">
        <v>20</v>
      </c>
      <c r="B44" s="440" t="s">
        <v>748</v>
      </c>
      <c r="C44" s="441"/>
      <c r="D44" s="119"/>
      <c r="E44" s="119"/>
      <c r="F44" s="446">
        <v>9300</v>
      </c>
      <c r="G44" s="447"/>
    </row>
    <row r="45" spans="1:7" s="59" customFormat="1" ht="15">
      <c r="A45" s="34" t="s">
        <v>22</v>
      </c>
      <c r="B45" s="440" t="s">
        <v>749</v>
      </c>
      <c r="C45" s="441"/>
      <c r="D45" s="119"/>
      <c r="E45" s="119"/>
      <c r="F45" s="446">
        <v>15800</v>
      </c>
      <c r="G45" s="447"/>
    </row>
    <row r="46" spans="1:7" s="67" customFormat="1" ht="15">
      <c r="A46" s="34" t="s">
        <v>24</v>
      </c>
      <c r="B46" s="440" t="s">
        <v>191</v>
      </c>
      <c r="C46" s="441"/>
      <c r="D46" s="124"/>
      <c r="E46" s="124"/>
      <c r="F46" s="429">
        <f>E24*1%</f>
        <v>380.5028</v>
      </c>
      <c r="G46" s="429"/>
    </row>
    <row r="47" s="59" customFormat="1" ht="12.75"/>
    <row r="48" spans="1:10" s="59" customFormat="1" ht="15">
      <c r="A48" s="67" t="s">
        <v>55</v>
      </c>
      <c r="B48" s="67"/>
      <c r="C48" s="126" t="s">
        <v>49</v>
      </c>
      <c r="D48" s="67"/>
      <c r="E48" s="67"/>
      <c r="F48" s="67" t="s">
        <v>90</v>
      </c>
      <c r="G48" s="67"/>
      <c r="H48" s="157"/>
      <c r="I48" s="157"/>
      <c r="J48" s="157"/>
    </row>
    <row r="49" spans="1:7" s="59" customFormat="1" ht="15">
      <c r="A49" s="67"/>
      <c r="B49" s="67"/>
      <c r="C49" s="126"/>
      <c r="D49" s="67"/>
      <c r="E49" s="67"/>
      <c r="F49" s="127" t="s">
        <v>438</v>
      </c>
      <c r="G49" s="67"/>
    </row>
    <row r="50" spans="1:7" s="59" customFormat="1" ht="15">
      <c r="A50" s="67" t="s">
        <v>50</v>
      </c>
      <c r="B50" s="67"/>
      <c r="C50" s="126"/>
      <c r="D50" s="67"/>
      <c r="E50" s="67"/>
      <c r="F50" s="67"/>
      <c r="G50" s="67"/>
    </row>
    <row r="51" spans="1:7" ht="15">
      <c r="A51" s="67"/>
      <c r="B51" s="67"/>
      <c r="C51" s="128" t="s">
        <v>51</v>
      </c>
      <c r="D51" s="67"/>
      <c r="E51" s="129"/>
      <c r="F51" s="129"/>
      <c r="G51" s="129"/>
    </row>
  </sheetData>
  <sheetProtection/>
  <mergeCells count="25">
    <mergeCell ref="A10:K10"/>
    <mergeCell ref="A1:K1"/>
    <mergeCell ref="A2:K2"/>
    <mergeCell ref="A3:K3"/>
    <mergeCell ref="A5:K5"/>
    <mergeCell ref="A9:K9"/>
    <mergeCell ref="A11:K11"/>
    <mergeCell ref="A32:C32"/>
    <mergeCell ref="A38:K38"/>
    <mergeCell ref="B40:C40"/>
    <mergeCell ref="F40:G40"/>
    <mergeCell ref="B41:C41"/>
    <mergeCell ref="F41:G41"/>
    <mergeCell ref="A34:B34"/>
    <mergeCell ref="A35:B36"/>
    <mergeCell ref="B46:C46"/>
    <mergeCell ref="F46:G46"/>
    <mergeCell ref="B42:C42"/>
    <mergeCell ref="F42:G42"/>
    <mergeCell ref="B43:C43"/>
    <mergeCell ref="F43:G43"/>
    <mergeCell ref="B44:C44"/>
    <mergeCell ref="F44:G44"/>
    <mergeCell ref="F45:G45"/>
    <mergeCell ref="B45:C4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</sheetPr>
  <dimension ref="A1:P46"/>
  <sheetViews>
    <sheetView zoomScalePageLayoutView="0" workbookViewId="0" topLeftCell="A33">
      <selection activeCell="A42" sqref="A42"/>
    </sheetView>
  </sheetViews>
  <sheetFormatPr defaultColWidth="9.140625" defaultRowHeight="15" outlineLevelCol="1"/>
  <cols>
    <col min="1" max="1" width="5.57421875" style="57" customWidth="1"/>
    <col min="2" max="2" width="47.7109375" style="57" customWidth="1"/>
    <col min="3" max="3" width="15.8515625" style="57" customWidth="1"/>
    <col min="4" max="4" width="14.8515625" style="57" customWidth="1"/>
    <col min="5" max="5" width="12.851562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2" s="59" customFormat="1" ht="16.5" customHeight="1">
      <c r="A7" s="59" t="s">
        <v>2</v>
      </c>
      <c r="F7" s="60" t="s">
        <v>155</v>
      </c>
      <c r="H7" s="60"/>
      <c r="L7" s="61"/>
    </row>
    <row r="8" spans="1:8" s="59" customFormat="1" ht="12.75">
      <c r="A8" s="59" t="s">
        <v>3</v>
      </c>
      <c r="F8" s="305" t="s">
        <v>351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'[1]Дубрава10'!$G$34</f>
        <v>81147.36959999999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28.5">
      <c r="A16" s="75" t="s">
        <v>14</v>
      </c>
      <c r="B16" s="41" t="s">
        <v>15</v>
      </c>
      <c r="C16" s="136">
        <f>C17+C18+C19+C20</f>
        <v>9.879999999999999</v>
      </c>
      <c r="D16" s="76">
        <v>402065.63</v>
      </c>
      <c r="E16" s="76">
        <v>369503.36</v>
      </c>
      <c r="F16" s="76">
        <f>D16</f>
        <v>402065.63</v>
      </c>
      <c r="G16" s="77">
        <f>D16-E16</f>
        <v>32562.27000000002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140804.36030364374</v>
      </c>
      <c r="E17" s="83">
        <f>E16*I17</f>
        <v>129400.97425101216</v>
      </c>
      <c r="F17" s="83">
        <f>D17</f>
        <v>140804.36030364374</v>
      </c>
      <c r="G17" s="84">
        <f>D17-E17</f>
        <v>11403.386052631584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68774.38407894738</v>
      </c>
      <c r="E18" s="83">
        <f>E16*I18</f>
        <v>63204.52210526316</v>
      </c>
      <c r="F18" s="83">
        <f>D18</f>
        <v>68774.38407894738</v>
      </c>
      <c r="G18" s="84">
        <f>D18-E18</f>
        <v>5569.861973684216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68774.38407894738</v>
      </c>
      <c r="E19" s="83">
        <f>E16*I19</f>
        <v>63204.52210526316</v>
      </c>
      <c r="F19" s="83">
        <f>D19</f>
        <v>68774.38407894738</v>
      </c>
      <c r="G19" s="84">
        <f>D19-E19</f>
        <v>5569.861973684216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123712.50153846154</v>
      </c>
      <c r="E20" s="83">
        <f>E16*I20</f>
        <v>113693.34153846154</v>
      </c>
      <c r="F20" s="83">
        <f>D20</f>
        <v>123712.50153846154</v>
      </c>
      <c r="G20" s="84">
        <f>D20-E20</f>
        <v>10019.160000000003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41" t="s">
        <v>490</v>
      </c>
      <c r="C22" s="97" t="s">
        <v>352</v>
      </c>
      <c r="D22" s="87">
        <v>58800</v>
      </c>
      <c r="E22" s="87">
        <v>56577.49</v>
      </c>
      <c r="F22" s="87">
        <f>D22</f>
        <v>58800</v>
      </c>
      <c r="G22" s="77">
        <f t="shared" si="0"/>
        <v>2222.510000000002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72961.56</v>
      </c>
      <c r="E24" s="87">
        <v>69215.24</v>
      </c>
      <c r="F24" s="87">
        <f>F39</f>
        <v>692.1524000000001</v>
      </c>
      <c r="G24" s="77">
        <f t="shared" si="0"/>
        <v>3746.3199999999924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>
        <v>1902.11</v>
      </c>
      <c r="D25" s="77">
        <v>0</v>
      </c>
      <c r="E25" s="77">
        <v>0</v>
      </c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1755179.4100000001</v>
      </c>
      <c r="E26" s="77">
        <f>SUM(E27:E30)</f>
        <v>1641730.1800000002</v>
      </c>
      <c r="F26" s="77">
        <f>SUM(F27:F30)</f>
        <v>1755179.4100000001</v>
      </c>
      <c r="G26" s="77">
        <f t="shared" si="0"/>
        <v>113449.22999999998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30462.61</v>
      </c>
      <c r="E27" s="84">
        <v>28286.01</v>
      </c>
      <c r="F27" s="84">
        <f>D27</f>
        <v>30462.61</v>
      </c>
      <c r="G27" s="84">
        <f t="shared" si="0"/>
        <v>2176.600000000002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576842.2</v>
      </c>
      <c r="E28" s="84">
        <v>532286.17</v>
      </c>
      <c r="F28" s="84">
        <f>D28</f>
        <v>576842.2</v>
      </c>
      <c r="G28" s="84">
        <f t="shared" si="0"/>
        <v>44556.02999999991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489</v>
      </c>
      <c r="D30" s="84">
        <v>1147874.6</v>
      </c>
      <c r="E30" s="84">
        <v>1081158</v>
      </c>
      <c r="F30" s="84">
        <f>D30</f>
        <v>1147874.6</v>
      </c>
      <c r="G30" s="84">
        <f t="shared" si="0"/>
        <v>66716.6000000001</v>
      </c>
    </row>
    <row r="31" spans="1:9" s="102" customFormat="1" ht="18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1447402.77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149670.4572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1" s="67" customFormat="1" ht="24.75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</row>
    <row r="37" spans="1:13" s="102" customFormat="1" ht="9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101"/>
      <c r="M37" s="101"/>
    </row>
    <row r="38" spans="1:11" ht="28.5" customHeight="1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1" ht="15">
      <c r="A39" s="109" t="s">
        <v>47</v>
      </c>
      <c r="B39" s="403" t="s">
        <v>111</v>
      </c>
      <c r="C39" s="425"/>
      <c r="D39" s="111"/>
      <c r="E39" s="111"/>
      <c r="F39" s="430">
        <f>SUM(F40:G41)</f>
        <v>692.1524000000001</v>
      </c>
      <c r="G39" s="419"/>
      <c r="H39" s="250"/>
      <c r="I39" s="251"/>
      <c r="J39" s="115"/>
      <c r="K39" s="115"/>
    </row>
    <row r="40" spans="1:11" ht="15">
      <c r="A40" s="34" t="s">
        <v>16</v>
      </c>
      <c r="B40" s="382"/>
      <c r="C40" s="384"/>
      <c r="D40" s="119"/>
      <c r="E40" s="119"/>
      <c r="F40" s="446"/>
      <c r="G40" s="447"/>
      <c r="H40" s="113"/>
      <c r="I40" s="114"/>
      <c r="J40" s="115"/>
      <c r="K40" s="115"/>
    </row>
    <row r="41" spans="1:14" s="115" customFormat="1" ht="15" customHeight="1">
      <c r="A41" s="256" t="s">
        <v>18</v>
      </c>
      <c r="B41" s="440" t="s">
        <v>191</v>
      </c>
      <c r="C41" s="441"/>
      <c r="D41" s="124"/>
      <c r="E41" s="124"/>
      <c r="F41" s="429">
        <f>E24*1%</f>
        <v>692.1524000000001</v>
      </c>
      <c r="G41" s="429"/>
      <c r="H41" s="59"/>
      <c r="I41" s="59"/>
      <c r="J41" s="59"/>
      <c r="K41" s="59"/>
      <c r="N41" s="116"/>
    </row>
    <row r="42" spans="1:14" ht="15.75" customHeight="1">
      <c r="A42" s="59"/>
      <c r="B42" s="59"/>
      <c r="C42" s="59"/>
      <c r="D42" s="59"/>
      <c r="E42" s="59"/>
      <c r="F42" s="59"/>
      <c r="G42" s="59"/>
      <c r="H42" s="67"/>
      <c r="I42" s="67"/>
      <c r="J42" s="67"/>
      <c r="K42" s="67"/>
      <c r="N42" s="120"/>
    </row>
    <row r="43" spans="1:11" ht="15">
      <c r="A43" s="67" t="s">
        <v>55</v>
      </c>
      <c r="B43" s="67"/>
      <c r="C43" s="126" t="s">
        <v>49</v>
      </c>
      <c r="D43" s="67"/>
      <c r="E43" s="67"/>
      <c r="F43" s="67" t="s">
        <v>90</v>
      </c>
      <c r="G43" s="67"/>
      <c r="H43" s="59"/>
      <c r="I43" s="59"/>
      <c r="J43" s="59"/>
      <c r="K43" s="59"/>
    </row>
    <row r="44" spans="1:10" s="59" customFormat="1" ht="15">
      <c r="A44" s="67"/>
      <c r="B44" s="67"/>
      <c r="C44" s="126"/>
      <c r="D44" s="67"/>
      <c r="E44" s="67"/>
      <c r="F44" s="127" t="s">
        <v>438</v>
      </c>
      <c r="G44" s="67"/>
      <c r="H44" s="157"/>
      <c r="I44" s="157"/>
      <c r="J44" s="157"/>
    </row>
    <row r="45" spans="1:7" s="59" customFormat="1" ht="15">
      <c r="A45" s="67" t="s">
        <v>50</v>
      </c>
      <c r="B45" s="67"/>
      <c r="C45" s="126"/>
      <c r="D45" s="67"/>
      <c r="E45" s="67"/>
      <c r="F45" s="67"/>
      <c r="G45" s="67"/>
    </row>
    <row r="46" spans="1:7" s="59" customFormat="1" ht="15">
      <c r="A46" s="67"/>
      <c r="B46" s="67"/>
      <c r="C46" s="128" t="s">
        <v>51</v>
      </c>
      <c r="D46" s="67"/>
      <c r="E46" s="129"/>
      <c r="F46" s="129"/>
      <c r="G46" s="129"/>
    </row>
    <row r="47" s="59" customFormat="1" ht="12.75"/>
  </sheetData>
  <sheetProtection/>
  <mergeCells count="18">
    <mergeCell ref="A10:K10"/>
    <mergeCell ref="A1:K1"/>
    <mergeCell ref="A2:K2"/>
    <mergeCell ref="A3:K3"/>
    <mergeCell ref="A5:K5"/>
    <mergeCell ref="A9:K9"/>
    <mergeCell ref="A11:K11"/>
    <mergeCell ref="A31:F31"/>
    <mergeCell ref="B40:C40"/>
    <mergeCell ref="F40:G40"/>
    <mergeCell ref="A32:C32"/>
    <mergeCell ref="A36:K36"/>
    <mergeCell ref="B38:C38"/>
    <mergeCell ref="F38:G38"/>
    <mergeCell ref="B39:C39"/>
    <mergeCell ref="F39:G39"/>
    <mergeCell ref="B41:C41"/>
    <mergeCell ref="F41:G41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zoomScalePageLayoutView="0" workbookViewId="0" topLeftCell="A34">
      <selection activeCell="A45" sqref="A45"/>
    </sheetView>
  </sheetViews>
  <sheetFormatPr defaultColWidth="9.140625" defaultRowHeight="15" outlineLevelCol="1"/>
  <cols>
    <col min="1" max="1" width="5.8515625" style="57" customWidth="1"/>
    <col min="2" max="2" width="49.140625" style="57" customWidth="1"/>
    <col min="3" max="4" width="14.8515625" style="57" customWidth="1"/>
    <col min="5" max="5" width="13.421875" style="57" customWidth="1"/>
    <col min="6" max="6" width="13.71093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2" s="59" customFormat="1" ht="16.5" customHeight="1">
      <c r="A7" s="59" t="s">
        <v>2</v>
      </c>
      <c r="F7" s="60" t="s">
        <v>181</v>
      </c>
      <c r="H7" s="60"/>
      <c r="L7" s="61"/>
    </row>
    <row r="8" spans="1:8" s="59" customFormat="1" ht="12.75">
      <c r="A8" s="59" t="s">
        <v>3</v>
      </c>
      <c r="F8" s="305" t="s">
        <v>492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'[1]Дубрава 11'!$G$34</f>
        <v>187946.25689999998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14.25">
      <c r="A16" s="75" t="s">
        <v>14</v>
      </c>
      <c r="B16" s="41" t="s">
        <v>15</v>
      </c>
      <c r="C16" s="136">
        <f>C17+C18+C19+C20</f>
        <v>9.879999999999999</v>
      </c>
      <c r="D16" s="76">
        <v>439628.49</v>
      </c>
      <c r="E16" s="76">
        <v>426895.61</v>
      </c>
      <c r="F16" s="76">
        <f>D16</f>
        <v>439628.49</v>
      </c>
      <c r="G16" s="77">
        <f>D16-E16</f>
        <v>12732.880000000005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153958.9651214575</v>
      </c>
      <c r="E17" s="83">
        <f>E16*I17</f>
        <v>149499.87961538462</v>
      </c>
      <c r="F17" s="83">
        <f>D17</f>
        <v>153958.9651214575</v>
      </c>
      <c r="G17" s="84">
        <f>D17-E17</f>
        <v>4459.085506072879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75199.61013157894</v>
      </c>
      <c r="E18" s="83">
        <f>E16*I18</f>
        <v>73021.6175</v>
      </c>
      <c r="F18" s="83">
        <f>D18</f>
        <v>75199.61013157894</v>
      </c>
      <c r="G18" s="84">
        <f>D18-E18</f>
        <v>2177.992631578949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75199.61013157894</v>
      </c>
      <c r="E19" s="83">
        <f>E16*I19</f>
        <v>73021.6175</v>
      </c>
      <c r="F19" s="83">
        <f>D19</f>
        <v>75199.61013157894</v>
      </c>
      <c r="G19" s="84">
        <f>D19-E19</f>
        <v>2177.992631578949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135270.3046153846</v>
      </c>
      <c r="E20" s="83">
        <f>E16*I20</f>
        <v>131352.49538461538</v>
      </c>
      <c r="F20" s="83">
        <f>D20</f>
        <v>135270.3046153846</v>
      </c>
      <c r="G20" s="84">
        <f>D20-E20</f>
        <v>3917.8092307692277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82736.25</v>
      </c>
      <c r="E24" s="87">
        <v>80343.23</v>
      </c>
      <c r="F24" s="87">
        <f>F39</f>
        <v>52056.0423</v>
      </c>
      <c r="G24" s="77">
        <f t="shared" si="0"/>
        <v>2393.020000000004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2079568.6400000001</v>
      </c>
      <c r="E26" s="77">
        <f>SUM(E27:E30)</f>
        <v>2018612.77</v>
      </c>
      <c r="F26" s="77">
        <f>SUM(F27:F30)</f>
        <v>2079568.6400000001</v>
      </c>
      <c r="G26" s="77">
        <f t="shared" si="0"/>
        <v>60955.87000000011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32544.92</v>
      </c>
      <c r="E27" s="84">
        <v>31548.25</v>
      </c>
      <c r="F27" s="84">
        <f>D27</f>
        <v>32544.92</v>
      </c>
      <c r="G27" s="84">
        <f t="shared" si="0"/>
        <v>996.6699999999983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626468.92</v>
      </c>
      <c r="E28" s="84">
        <v>615620.08</v>
      </c>
      <c r="F28" s="84">
        <f>D28</f>
        <v>626468.92</v>
      </c>
      <c r="G28" s="84">
        <f t="shared" si="0"/>
        <v>10848.840000000084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489</v>
      </c>
      <c r="D30" s="84">
        <v>1420554.8</v>
      </c>
      <c r="E30" s="84">
        <v>1371444.44</v>
      </c>
      <c r="F30" s="84">
        <f>D30</f>
        <v>1420554.8</v>
      </c>
      <c r="G30" s="84">
        <f t="shared" si="0"/>
        <v>49110.3600000001</v>
      </c>
    </row>
    <row r="31" spans="1:9" s="102" customFormat="1" ht="15.7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629598.86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216233.44459999996</v>
      </c>
      <c r="H34" s="62"/>
      <c r="I34" s="62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5.5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101"/>
      <c r="M36" s="101"/>
    </row>
    <row r="38" spans="1:11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4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SUM(F40:G44)</f>
        <v>52056.0423</v>
      </c>
      <c r="G39" s="419"/>
      <c r="H39" s="250"/>
      <c r="I39" s="251"/>
      <c r="J39" s="115"/>
      <c r="K39" s="115"/>
      <c r="N39" s="108"/>
    </row>
    <row r="40" spans="1:14" s="115" customFormat="1" ht="15">
      <c r="A40" s="34" t="s">
        <v>16</v>
      </c>
      <c r="B40" s="413" t="s">
        <v>608</v>
      </c>
      <c r="C40" s="423"/>
      <c r="D40" s="349" t="s">
        <v>229</v>
      </c>
      <c r="E40" s="349">
        <v>0.06</v>
      </c>
      <c r="F40" s="451">
        <v>6252.61</v>
      </c>
      <c r="G40" s="452"/>
      <c r="H40" s="252"/>
      <c r="I40" s="253"/>
      <c r="J40" s="57"/>
      <c r="K40" s="57"/>
      <c r="N40" s="116"/>
    </row>
    <row r="41" spans="1:7" s="59" customFormat="1" ht="19.5" customHeight="1">
      <c r="A41" s="34" t="s">
        <v>18</v>
      </c>
      <c r="B41" s="413" t="s">
        <v>609</v>
      </c>
      <c r="C41" s="423"/>
      <c r="D41" s="119"/>
      <c r="E41" s="119"/>
      <c r="F41" s="451">
        <v>25000</v>
      </c>
      <c r="G41" s="452"/>
    </row>
    <row r="42" spans="1:7" s="59" customFormat="1" ht="20.25" customHeight="1">
      <c r="A42" s="34" t="s">
        <v>20</v>
      </c>
      <c r="B42" s="382" t="s">
        <v>750</v>
      </c>
      <c r="C42" s="384"/>
      <c r="D42" s="119"/>
      <c r="E42" s="119"/>
      <c r="F42" s="446">
        <v>20000</v>
      </c>
      <c r="G42" s="447"/>
    </row>
    <row r="43" spans="1:7" s="59" customFormat="1" ht="15">
      <c r="A43" s="34" t="s">
        <v>22</v>
      </c>
      <c r="B43" s="382"/>
      <c r="C43" s="384"/>
      <c r="D43" s="119"/>
      <c r="E43" s="119"/>
      <c r="F43" s="446"/>
      <c r="G43" s="447"/>
    </row>
    <row r="44" spans="1:10" s="59" customFormat="1" ht="15">
      <c r="A44" s="34" t="s">
        <v>24</v>
      </c>
      <c r="B44" s="440" t="s">
        <v>191</v>
      </c>
      <c r="C44" s="441"/>
      <c r="D44" s="124"/>
      <c r="E44" s="124"/>
      <c r="F44" s="429">
        <f>E24*1%</f>
        <v>803.4322999999999</v>
      </c>
      <c r="G44" s="429"/>
      <c r="H44" s="157"/>
      <c r="I44" s="157"/>
      <c r="J44" s="157"/>
    </row>
    <row r="45" s="59" customFormat="1" ht="12.75"/>
    <row r="46" spans="1:7" s="59" customFormat="1" ht="15">
      <c r="A46" s="67" t="s">
        <v>55</v>
      </c>
      <c r="B46" s="67"/>
      <c r="C46" s="126" t="s">
        <v>49</v>
      </c>
      <c r="D46" s="67"/>
      <c r="E46" s="67"/>
      <c r="F46" s="67" t="s">
        <v>90</v>
      </c>
      <c r="G46" s="67"/>
    </row>
    <row r="47" spans="1:7" ht="15">
      <c r="A47" s="67"/>
      <c r="B47" s="67"/>
      <c r="C47" s="126"/>
      <c r="D47" s="67"/>
      <c r="E47" s="67"/>
      <c r="F47" s="127" t="s">
        <v>438</v>
      </c>
      <c r="G47" s="67"/>
    </row>
    <row r="48" spans="1:7" ht="15">
      <c r="A48" s="67" t="s">
        <v>50</v>
      </c>
      <c r="B48" s="67"/>
      <c r="C48" s="126"/>
      <c r="D48" s="67"/>
      <c r="E48" s="67"/>
      <c r="F48" s="67"/>
      <c r="G48" s="67"/>
    </row>
    <row r="49" spans="1:7" ht="15">
      <c r="A49" s="67"/>
      <c r="B49" s="67"/>
      <c r="C49" s="128" t="s">
        <v>51</v>
      </c>
      <c r="D49" s="67"/>
      <c r="E49" s="129"/>
      <c r="F49" s="129"/>
      <c r="G49" s="129"/>
    </row>
  </sheetData>
  <sheetProtection/>
  <mergeCells count="24">
    <mergeCell ref="A10:K10"/>
    <mergeCell ref="A1:K1"/>
    <mergeCell ref="A2:K2"/>
    <mergeCell ref="A3:K3"/>
    <mergeCell ref="A5:K5"/>
    <mergeCell ref="A9:K9"/>
    <mergeCell ref="A11:K11"/>
    <mergeCell ref="A32:C32"/>
    <mergeCell ref="A36:K36"/>
    <mergeCell ref="B38:C38"/>
    <mergeCell ref="F38:G38"/>
    <mergeCell ref="A31:F31"/>
    <mergeCell ref="B39:C39"/>
    <mergeCell ref="F39:G39"/>
    <mergeCell ref="B40:C40"/>
    <mergeCell ref="F40:G40"/>
    <mergeCell ref="B41:C41"/>
    <mergeCell ref="F41:G41"/>
    <mergeCell ref="B42:C42"/>
    <mergeCell ref="F42:G42"/>
    <mergeCell ref="B44:C44"/>
    <mergeCell ref="F44:G44"/>
    <mergeCell ref="B43:C43"/>
    <mergeCell ref="F43:G43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7030A0"/>
  </sheetPr>
  <dimension ref="A1:L47"/>
  <sheetViews>
    <sheetView zoomScalePageLayoutView="0" workbookViewId="0" topLeftCell="A30">
      <selection activeCell="D40" sqref="D40:G41"/>
    </sheetView>
  </sheetViews>
  <sheetFormatPr defaultColWidth="9.140625" defaultRowHeight="15" outlineLevelCol="1"/>
  <cols>
    <col min="1" max="1" width="5.421875" style="57" customWidth="1"/>
    <col min="2" max="2" width="48.57421875" style="57" customWidth="1"/>
    <col min="3" max="3" width="15.421875" style="57" customWidth="1"/>
    <col min="4" max="4" width="14.8515625" style="57" customWidth="1"/>
    <col min="5" max="5" width="13.5742187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9.140625" style="57" customWidth="1" collapsed="1"/>
    <col min="11" max="11" width="10.00390625" style="57" bestFit="1" customWidth="1"/>
    <col min="12" max="12" width="15.8515625" style="57" customWidth="1"/>
    <col min="13" max="16384" width="9.140625" style="57" customWidth="1"/>
  </cols>
  <sheetData>
    <row r="1" spans="1:9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</row>
    <row r="3" spans="1:9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</row>
    <row r="7" spans="1:8" s="59" customFormat="1" ht="16.5" customHeight="1">
      <c r="A7" s="59" t="s">
        <v>2</v>
      </c>
      <c r="F7" s="60" t="s">
        <v>210</v>
      </c>
      <c r="H7" s="60"/>
    </row>
    <row r="8" spans="1:8" s="59" customFormat="1" ht="12.75">
      <c r="A8" s="59" t="s">
        <v>3</v>
      </c>
      <c r="F8" s="305" t="s">
        <v>353</v>
      </c>
      <c r="H8" s="60"/>
    </row>
    <row r="9" spans="1:9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</row>
    <row r="10" spans="1:9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</row>
    <row r="11" spans="1:9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6" customHeight="1" thickBot="1">
      <c r="A12" s="257"/>
      <c r="B12" s="257"/>
      <c r="C12" s="257"/>
      <c r="D12" s="40"/>
      <c r="E12" s="66"/>
      <c r="F12" s="66"/>
      <c r="G12" s="66"/>
      <c r="H12" s="62"/>
      <c r="I12" s="62"/>
    </row>
    <row r="13" spans="1:9" s="67" customFormat="1" ht="15.75" thickBot="1">
      <c r="A13" s="258" t="s">
        <v>331</v>
      </c>
      <c r="B13" s="259"/>
      <c r="C13" s="259"/>
      <c r="D13" s="260"/>
      <c r="E13" s="70"/>
      <c r="F13" s="70"/>
      <c r="G13" s="65">
        <f>'[1]Нефтебаза 1'!$G$34</f>
        <v>116056.6858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2" s="59" customFormat="1" ht="14.25">
      <c r="A16" s="75" t="s">
        <v>14</v>
      </c>
      <c r="B16" s="41" t="s">
        <v>15</v>
      </c>
      <c r="C16" s="136">
        <f>C17+C18+C19+C20</f>
        <v>9.879999999999999</v>
      </c>
      <c r="D16" s="76">
        <v>159807</v>
      </c>
      <c r="E16" s="76">
        <v>151077.96</v>
      </c>
      <c r="F16" s="76">
        <f>D16</f>
        <v>159807</v>
      </c>
      <c r="G16" s="77">
        <f>D16-E16</f>
        <v>8729.040000000008</v>
      </c>
      <c r="H16" s="78">
        <f>C16</f>
        <v>9.879999999999999</v>
      </c>
      <c r="I16" s="79"/>
      <c r="K16" s="78"/>
      <c r="L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55964.7995951417</v>
      </c>
      <c r="E17" s="83">
        <f>E16*I17</f>
        <v>52907.86858299595</v>
      </c>
      <c r="F17" s="83">
        <f>D17</f>
        <v>55964.7995951417</v>
      </c>
      <c r="G17" s="84">
        <f>D17-E17</f>
        <v>3056.931012145753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27335.407894736843</v>
      </c>
      <c r="E18" s="83">
        <f>E16*I18</f>
        <v>25842.282631578946</v>
      </c>
      <c r="F18" s="83">
        <f>D18</f>
        <v>27335.407894736843</v>
      </c>
      <c r="G18" s="84">
        <f>D18-E18</f>
        <v>1493.1252631578973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27335.407894736843</v>
      </c>
      <c r="E19" s="83">
        <f>E16*I19</f>
        <v>25842.282631578946</v>
      </c>
      <c r="F19" s="83">
        <f>D19</f>
        <v>27335.407894736843</v>
      </c>
      <c r="G19" s="84">
        <f>D19-E19</f>
        <v>1493.1252631578973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49171.38461538462</v>
      </c>
      <c r="E20" s="83">
        <f>E16*I20</f>
        <v>46485.52615384616</v>
      </c>
      <c r="F20" s="83">
        <f>D20</f>
        <v>49171.38461538462</v>
      </c>
      <c r="G20" s="84">
        <f>D20-E20</f>
        <v>2685.8584615384607</v>
      </c>
      <c r="H20" s="78">
        <f>C20</f>
        <v>3.04</v>
      </c>
      <c r="I20" s="59">
        <f>H20/H16</f>
        <v>0.3076923076923077</v>
      </c>
    </row>
    <row r="21" spans="1:9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</row>
    <row r="22" spans="1:9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</row>
    <row r="23" spans="1:9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</row>
    <row r="24" spans="1:9" s="89" customFormat="1" ht="14.25">
      <c r="A24" s="86" t="s">
        <v>31</v>
      </c>
      <c r="B24" s="86" t="s">
        <v>116</v>
      </c>
      <c r="C24" s="87">
        <v>3</v>
      </c>
      <c r="D24" s="87">
        <v>48524.4</v>
      </c>
      <c r="E24" s="87">
        <v>45888.54</v>
      </c>
      <c r="F24" s="87">
        <f>F39</f>
        <v>48813.6054</v>
      </c>
      <c r="G24" s="77">
        <f t="shared" si="0"/>
        <v>2635.8600000000006</v>
      </c>
      <c r="H24" s="88"/>
      <c r="I24" s="88"/>
    </row>
    <row r="25" spans="1:9" ht="14.25">
      <c r="A25" s="41" t="s">
        <v>33</v>
      </c>
      <c r="B25" s="41" t="s">
        <v>163</v>
      </c>
      <c r="C25" s="77">
        <v>0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</row>
    <row r="26" spans="1:9" ht="14.25">
      <c r="A26" s="41" t="s">
        <v>35</v>
      </c>
      <c r="B26" s="41" t="s">
        <v>36</v>
      </c>
      <c r="C26" s="77"/>
      <c r="D26" s="77">
        <f>SUM(D27:D30)</f>
        <v>844269.42</v>
      </c>
      <c r="E26" s="77">
        <f>SUM(E27:E30)</f>
        <v>803816.7</v>
      </c>
      <c r="F26" s="77">
        <f>SUM(F27:F30)</f>
        <v>844269.42</v>
      </c>
      <c r="G26" s="77">
        <f t="shared" si="0"/>
        <v>40452.72000000009</v>
      </c>
      <c r="H26" s="98"/>
      <c r="I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7125.85</v>
      </c>
      <c r="E27" s="84">
        <v>6793.77</v>
      </c>
      <c r="F27" s="84">
        <f>D27</f>
        <v>7125.85</v>
      </c>
      <c r="G27" s="84">
        <f t="shared" si="0"/>
        <v>332.0799999999999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215524.9</v>
      </c>
      <c r="E28" s="84">
        <v>215770.86</v>
      </c>
      <c r="F28" s="84">
        <f>D28</f>
        <v>215524.9</v>
      </c>
      <c r="G28" s="84">
        <f t="shared" si="0"/>
        <v>-245.95999999999185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489</v>
      </c>
      <c r="D30" s="84">
        <v>621618.67</v>
      </c>
      <c r="E30" s="84">
        <v>581252.07</v>
      </c>
      <c r="F30" s="84">
        <f>D30</f>
        <v>621618.67</v>
      </c>
      <c r="G30" s="84">
        <f t="shared" si="0"/>
        <v>40366.60000000009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370605.97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0" s="67" customFormat="1" ht="15.75" thickBot="1">
      <c r="A34" s="63" t="s">
        <v>493</v>
      </c>
      <c r="B34" s="64"/>
      <c r="C34" s="64"/>
      <c r="D34" s="69"/>
      <c r="E34" s="70"/>
      <c r="F34" s="70"/>
      <c r="G34" s="145">
        <f>G13+E24-F24</f>
        <v>113131.62040000001</v>
      </c>
      <c r="H34" s="62"/>
      <c r="I34" s="62"/>
      <c r="J34" s="146"/>
    </row>
    <row r="35" spans="1:9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</row>
    <row r="36" spans="1:9" s="102" customFormat="1" ht="29.25" customHeight="1">
      <c r="A36" s="377" t="s">
        <v>44</v>
      </c>
      <c r="B36" s="417"/>
      <c r="C36" s="417"/>
      <c r="D36" s="417"/>
      <c r="E36" s="417"/>
      <c r="F36" s="417"/>
      <c r="G36" s="417"/>
      <c r="H36" s="58"/>
      <c r="I36" s="58"/>
    </row>
    <row r="38" spans="1:9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535" t="s">
        <v>46</v>
      </c>
      <c r="G38" s="535"/>
      <c r="H38" s="106"/>
      <c r="I38" s="107"/>
    </row>
    <row r="39" spans="1:10" s="74" customFormat="1" ht="15">
      <c r="A39" s="109" t="s">
        <v>47</v>
      </c>
      <c r="B39" s="403" t="s">
        <v>111</v>
      </c>
      <c r="C39" s="425"/>
      <c r="D39" s="111"/>
      <c r="E39" s="111"/>
      <c r="F39" s="543">
        <f>SUM(F40:G42)</f>
        <v>48813.6054</v>
      </c>
      <c r="G39" s="544"/>
      <c r="H39" s="113"/>
      <c r="I39" s="114"/>
      <c r="J39" s="108"/>
    </row>
    <row r="40" spans="1:10" s="115" customFormat="1" ht="15" customHeight="1">
      <c r="A40" s="34" t="s">
        <v>16</v>
      </c>
      <c r="B40" s="413" t="s">
        <v>170</v>
      </c>
      <c r="C40" s="442"/>
      <c r="D40" s="349" t="s">
        <v>247</v>
      </c>
      <c r="E40" s="354">
        <v>0.2</v>
      </c>
      <c r="F40" s="431">
        <v>42954.72</v>
      </c>
      <c r="G40" s="431"/>
      <c r="H40" s="40"/>
      <c r="I40" s="40"/>
      <c r="J40" s="116"/>
    </row>
    <row r="41" spans="1:10" s="115" customFormat="1" ht="15" customHeight="1">
      <c r="A41" s="34" t="s">
        <v>18</v>
      </c>
      <c r="B41" s="413" t="s">
        <v>607</v>
      </c>
      <c r="C41" s="442"/>
      <c r="D41" s="349" t="s">
        <v>166</v>
      </c>
      <c r="E41" s="354">
        <v>1</v>
      </c>
      <c r="F41" s="431">
        <v>5400</v>
      </c>
      <c r="G41" s="431"/>
      <c r="H41" s="40"/>
      <c r="I41" s="40"/>
      <c r="J41" s="116"/>
    </row>
    <row r="42" spans="1:10" ht="15.75" customHeight="1">
      <c r="A42" s="34" t="s">
        <v>18</v>
      </c>
      <c r="B42" s="440" t="s">
        <v>191</v>
      </c>
      <c r="C42" s="441"/>
      <c r="D42" s="124"/>
      <c r="E42" s="124"/>
      <c r="F42" s="429">
        <f>E24*1%</f>
        <v>458.8854</v>
      </c>
      <c r="G42" s="429"/>
      <c r="H42" s="59"/>
      <c r="I42" s="59"/>
      <c r="J42" s="120"/>
    </row>
    <row r="43" spans="1:9" ht="7.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s="59" customFormat="1" ht="15">
      <c r="A44" s="67" t="s">
        <v>55</v>
      </c>
      <c r="B44" s="67"/>
      <c r="C44" s="126" t="s">
        <v>49</v>
      </c>
      <c r="D44" s="67"/>
      <c r="E44" s="67"/>
      <c r="F44" s="67" t="s">
        <v>90</v>
      </c>
      <c r="G44" s="67"/>
      <c r="H44" s="67"/>
      <c r="I44" s="67"/>
    </row>
    <row r="45" spans="1:7" s="59" customFormat="1" ht="15">
      <c r="A45" s="67"/>
      <c r="B45" s="67"/>
      <c r="C45" s="126"/>
      <c r="D45" s="67"/>
      <c r="E45" s="67"/>
      <c r="F45" s="127" t="s">
        <v>438</v>
      </c>
      <c r="G45" s="67"/>
    </row>
    <row r="46" spans="1:9" s="67" customFormat="1" ht="15">
      <c r="A46" s="67" t="s">
        <v>50</v>
      </c>
      <c r="C46" s="126"/>
      <c r="H46" s="157"/>
      <c r="I46" s="157"/>
    </row>
    <row r="47" spans="1:7" s="59" customFormat="1" ht="15">
      <c r="A47" s="67"/>
      <c r="B47" s="67"/>
      <c r="C47" s="128" t="s">
        <v>51</v>
      </c>
      <c r="D47" s="67"/>
      <c r="E47" s="129"/>
      <c r="F47" s="129"/>
      <c r="G47" s="129"/>
    </row>
    <row r="48" s="59" customFormat="1" ht="12.75"/>
    <row r="49" s="59" customFormat="1" ht="12.75"/>
  </sheetData>
  <sheetProtection/>
  <mergeCells count="19">
    <mergeCell ref="B42:C42"/>
    <mergeCell ref="F42:G42"/>
    <mergeCell ref="B39:C39"/>
    <mergeCell ref="F39:G39"/>
    <mergeCell ref="A10:I10"/>
    <mergeCell ref="A11:I11"/>
    <mergeCell ref="A32:C32"/>
    <mergeCell ref="B41:C41"/>
    <mergeCell ref="F41:G41"/>
    <mergeCell ref="B40:C40"/>
    <mergeCell ref="F40:G40"/>
    <mergeCell ref="B38:C38"/>
    <mergeCell ref="F38:G38"/>
    <mergeCell ref="A36:G36"/>
    <mergeCell ref="A1:I1"/>
    <mergeCell ref="A2:I2"/>
    <mergeCell ref="A3:I3"/>
    <mergeCell ref="A5:I5"/>
    <mergeCell ref="A9:I9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</sheetPr>
  <dimension ref="A1:P46"/>
  <sheetViews>
    <sheetView zoomScalePageLayoutView="0" workbookViewId="0" topLeftCell="A34">
      <selection activeCell="F45" sqref="F45"/>
    </sheetView>
  </sheetViews>
  <sheetFormatPr defaultColWidth="9.140625" defaultRowHeight="15" outlineLevelCol="1"/>
  <cols>
    <col min="1" max="1" width="5.421875" style="57" customWidth="1"/>
    <col min="2" max="2" width="48.57421875" style="57" customWidth="1"/>
    <col min="3" max="3" width="15.421875" style="57" customWidth="1"/>
    <col min="4" max="4" width="14.8515625" style="57" customWidth="1"/>
    <col min="5" max="5" width="13.5742187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10.710937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2" s="59" customFormat="1" ht="16.5" customHeight="1">
      <c r="A7" s="59" t="s">
        <v>2</v>
      </c>
      <c r="F7" s="60" t="s">
        <v>211</v>
      </c>
      <c r="H7" s="60"/>
      <c r="L7" s="61"/>
    </row>
    <row r="8" spans="1:8" s="59" customFormat="1" ht="12.75">
      <c r="A8" s="59" t="s">
        <v>3</v>
      </c>
      <c r="F8" s="305" t="s">
        <v>277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257"/>
      <c r="B12" s="257"/>
      <c r="C12" s="257"/>
      <c r="D12" s="40"/>
      <c r="E12" s="66"/>
      <c r="F12" s="66"/>
      <c r="G12" s="66"/>
      <c r="H12" s="62"/>
      <c r="I12" s="62"/>
    </row>
    <row r="13" spans="1:9" s="67" customFormat="1" ht="15.75" thickBot="1">
      <c r="A13" s="258" t="s">
        <v>331</v>
      </c>
      <c r="B13" s="259"/>
      <c r="C13" s="259"/>
      <c r="D13" s="260"/>
      <c r="E13" s="70"/>
      <c r="F13" s="70"/>
      <c r="G13" s="65">
        <f>'[1]Нефтебаза 2'!$G$34</f>
        <v>-39513.349399999985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14.25">
      <c r="A16" s="75" t="s">
        <v>14</v>
      </c>
      <c r="B16" s="41" t="s">
        <v>15</v>
      </c>
      <c r="C16" s="136">
        <f>C17+C18+C19+C20</f>
        <v>9.879999999999999</v>
      </c>
      <c r="D16" s="76">
        <v>88140.23</v>
      </c>
      <c r="E16" s="76">
        <v>59188.23</v>
      </c>
      <c r="F16" s="76">
        <f aca="true" t="shared" si="0" ref="F16:F22">D16</f>
        <v>88140.23</v>
      </c>
      <c r="G16" s="77">
        <f>D16-E16</f>
        <v>28951.999999999993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30866.922651821864</v>
      </c>
      <c r="E17" s="83">
        <f>E16*I17</f>
        <v>20727.861923076925</v>
      </c>
      <c r="F17" s="83">
        <f t="shared" si="0"/>
        <v>30866.922651821864</v>
      </c>
      <c r="G17" s="84">
        <f>D17-E17</f>
        <v>10139.060728744938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15076.618289473683</v>
      </c>
      <c r="E18" s="83">
        <f>E16*I18</f>
        <v>10124.302500000002</v>
      </c>
      <c r="F18" s="83">
        <f t="shared" si="0"/>
        <v>15076.618289473683</v>
      </c>
      <c r="G18" s="84">
        <f>D18-E18</f>
        <v>4952.315789473681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15076.618289473683</v>
      </c>
      <c r="E19" s="83">
        <f>E16*I19</f>
        <v>10124.302500000002</v>
      </c>
      <c r="F19" s="83">
        <f t="shared" si="0"/>
        <v>15076.618289473683</v>
      </c>
      <c r="G19" s="84">
        <f>D19-E19</f>
        <v>4952.315789473681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27120.07076923077</v>
      </c>
      <c r="E20" s="83">
        <f>E16*I20</f>
        <v>18211.76307692308</v>
      </c>
      <c r="F20" s="83">
        <f t="shared" si="0"/>
        <v>27120.07076923077</v>
      </c>
      <c r="G20" s="84">
        <f>D20-E20</f>
        <v>8908.307692307691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205</v>
      </c>
      <c r="C21" s="97">
        <v>0</v>
      </c>
      <c r="D21" s="87">
        <v>0</v>
      </c>
      <c r="E21" s="87">
        <v>16115.64</v>
      </c>
      <c r="F21" s="87">
        <f t="shared" si="0"/>
        <v>0</v>
      </c>
      <c r="G21" s="77">
        <f aca="true" t="shared" si="1" ref="G21:G30">D21-E21</f>
        <v>-16115.64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4" s="89" customFormat="1" ht="14.25">
      <c r="A24" s="86" t="s">
        <v>31</v>
      </c>
      <c r="B24" s="86" t="s">
        <v>116</v>
      </c>
      <c r="C24" s="87">
        <v>3</v>
      </c>
      <c r="D24" s="87">
        <v>22313.16</v>
      </c>
      <c r="E24" s="87">
        <v>17972.15</v>
      </c>
      <c r="F24" s="87">
        <f>F39-F21</f>
        <v>179.72150000000002</v>
      </c>
      <c r="G24" s="77">
        <f t="shared" si="1"/>
        <v>4341.009999999998</v>
      </c>
      <c r="H24" s="88"/>
      <c r="I24" s="88"/>
      <c r="J24" s="88"/>
      <c r="K24" s="88"/>
      <c r="N24" s="261"/>
    </row>
    <row r="25" spans="1:11" ht="14.25">
      <c r="A25" s="41" t="s">
        <v>33</v>
      </c>
      <c r="B25" s="41" t="s">
        <v>163</v>
      </c>
      <c r="C25" s="77" t="s">
        <v>334</v>
      </c>
      <c r="D25" s="77"/>
      <c r="E25" s="77"/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86911.95</v>
      </c>
      <c r="E26" s="77">
        <f>SUM(E27:E30)</f>
        <v>66537.08</v>
      </c>
      <c r="F26" s="77">
        <f>SUM(F27:F30)</f>
        <v>86911.95</v>
      </c>
      <c r="G26" s="77">
        <f t="shared" si="1"/>
        <v>20374.869999999995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0</v>
      </c>
      <c r="E27" s="84">
        <v>0</v>
      </c>
      <c r="F27" s="84">
        <f>D27</f>
        <v>0</v>
      </c>
      <c r="G27" s="84">
        <f t="shared" si="1"/>
        <v>0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86911.95</v>
      </c>
      <c r="E28" s="84">
        <v>66537.08</v>
      </c>
      <c r="F28" s="84">
        <f>D28</f>
        <v>86911.95</v>
      </c>
      <c r="G28" s="84">
        <f t="shared" si="1"/>
        <v>20374.869999999995</v>
      </c>
    </row>
    <row r="29" spans="1:7" ht="15">
      <c r="A29" s="34" t="s">
        <v>42</v>
      </c>
      <c r="B29" s="34" t="s">
        <v>421</v>
      </c>
      <c r="C29" s="144">
        <v>0</v>
      </c>
      <c r="D29" s="84">
        <v>0</v>
      </c>
      <c r="E29" s="84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99"/>
      <c r="D30" s="84">
        <v>0</v>
      </c>
      <c r="E30" s="84">
        <v>0</v>
      </c>
      <c r="F30" s="84">
        <f>D30</f>
        <v>0</v>
      </c>
      <c r="G30" s="84">
        <f t="shared" si="1"/>
        <v>0</v>
      </c>
    </row>
    <row r="31" spans="1:9" s="102" customFormat="1" ht="18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307548.66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G13+E21+E24-F21-F24</f>
        <v>-5605.280899999983</v>
      </c>
      <c r="H34" s="62"/>
      <c r="I34" s="62"/>
      <c r="N34" s="146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9.25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101"/>
      <c r="M36" s="101"/>
    </row>
    <row r="38" spans="1:11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4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SUM(F40:G41)</f>
        <v>179.72150000000002</v>
      </c>
      <c r="G39" s="419"/>
      <c r="H39" s="250"/>
      <c r="I39" s="251"/>
      <c r="J39" s="115"/>
      <c r="K39" s="115"/>
      <c r="N39" s="108"/>
    </row>
    <row r="40" spans="1:14" s="115" customFormat="1" ht="16.5" customHeight="1">
      <c r="A40" s="34" t="s">
        <v>16</v>
      </c>
      <c r="B40" s="382"/>
      <c r="C40" s="384"/>
      <c r="D40" s="119"/>
      <c r="E40" s="119"/>
      <c r="F40" s="446"/>
      <c r="G40" s="447"/>
      <c r="H40" s="252"/>
      <c r="I40" s="253"/>
      <c r="J40" s="57"/>
      <c r="K40" s="57"/>
      <c r="N40" s="116"/>
    </row>
    <row r="41" spans="1:14" ht="15.75" customHeight="1">
      <c r="A41" s="256" t="s">
        <v>18</v>
      </c>
      <c r="B41" s="440" t="s">
        <v>191</v>
      </c>
      <c r="C41" s="441"/>
      <c r="D41" s="124"/>
      <c r="E41" s="124"/>
      <c r="F41" s="429">
        <f>E24*1%</f>
        <v>179.72150000000002</v>
      </c>
      <c r="G41" s="429"/>
      <c r="H41" s="59"/>
      <c r="I41" s="59"/>
      <c r="J41" s="59"/>
      <c r="K41" s="59"/>
      <c r="N41" s="120"/>
    </row>
    <row r="42" spans="1:11" ht="7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s="59" customFormat="1" ht="15">
      <c r="A43" s="67" t="s">
        <v>55</v>
      </c>
      <c r="B43" s="67"/>
      <c r="C43" s="126" t="s">
        <v>49</v>
      </c>
      <c r="D43" s="67"/>
      <c r="E43" s="67"/>
      <c r="F43" s="67" t="s">
        <v>90</v>
      </c>
      <c r="G43" s="67"/>
      <c r="H43" s="67"/>
      <c r="I43" s="67"/>
      <c r="J43" s="67"/>
      <c r="K43" s="67"/>
    </row>
    <row r="44" spans="1:7" s="59" customFormat="1" ht="15">
      <c r="A44" s="67"/>
      <c r="B44" s="67"/>
      <c r="C44" s="126"/>
      <c r="D44" s="67"/>
      <c r="E44" s="67"/>
      <c r="F44" s="127" t="s">
        <v>438</v>
      </c>
      <c r="G44" s="67"/>
    </row>
    <row r="45" spans="1:11" s="67" customFormat="1" ht="15">
      <c r="A45" s="67" t="s">
        <v>50</v>
      </c>
      <c r="C45" s="126"/>
      <c r="H45" s="157"/>
      <c r="I45" s="157"/>
      <c r="J45" s="157"/>
      <c r="K45" s="59"/>
    </row>
    <row r="46" spans="1:7" s="59" customFormat="1" ht="15">
      <c r="A46" s="67"/>
      <c r="B46" s="67"/>
      <c r="C46" s="128" t="s">
        <v>51</v>
      </c>
      <c r="D46" s="67"/>
      <c r="E46" s="129"/>
      <c r="F46" s="129"/>
      <c r="G46" s="129"/>
    </row>
    <row r="47" s="59" customFormat="1" ht="12.75"/>
    <row r="48" s="59" customFormat="1" ht="12.75"/>
  </sheetData>
  <sheetProtection/>
  <mergeCells count="18">
    <mergeCell ref="B40:C40"/>
    <mergeCell ref="F40:G40"/>
    <mergeCell ref="B41:C41"/>
    <mergeCell ref="F41:G41"/>
    <mergeCell ref="A32:C32"/>
    <mergeCell ref="A36:K36"/>
    <mergeCell ref="B38:C38"/>
    <mergeCell ref="F38:G38"/>
    <mergeCell ref="B39:C39"/>
    <mergeCell ref="F39:G39"/>
    <mergeCell ref="A31:F31"/>
    <mergeCell ref="A11:K1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40">
      <selection activeCell="A48" sqref="A48"/>
    </sheetView>
  </sheetViews>
  <sheetFormatPr defaultColWidth="9.140625" defaultRowHeight="15" outlineLevelCol="1"/>
  <cols>
    <col min="1" max="1" width="4.7109375" style="35" customWidth="1"/>
    <col min="2" max="2" width="46.8515625" style="35" customWidth="1"/>
    <col min="3" max="3" width="13.57421875" style="35" customWidth="1"/>
    <col min="4" max="5" width="13.140625" style="35" bestFit="1" customWidth="1"/>
    <col min="6" max="6" width="14.14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6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7.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.75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6" ht="8.25" customHeight="1"/>
    <row r="7" spans="1:6" s="67" customFormat="1" ht="16.5" customHeight="1">
      <c r="A7" s="67" t="s">
        <v>2</v>
      </c>
      <c r="F7" s="127" t="s">
        <v>121</v>
      </c>
    </row>
    <row r="8" spans="1:6" s="67" customFormat="1" ht="15">
      <c r="A8" s="67" t="s">
        <v>3</v>
      </c>
      <c r="F8" s="127" t="s">
        <v>416</v>
      </c>
    </row>
    <row r="9" s="67" customFormat="1" ht="7.5" customHeight="1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'[1]Социалистическая 3'!$G$36</f>
        <v>-695315.36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'[1]Социалистическая 3'!$G$37</f>
        <v>-562435.4028</v>
      </c>
      <c r="H15" s="62"/>
      <c r="I15" s="62"/>
    </row>
    <row r="16" s="67" customFormat="1" ht="6.75" customHeight="1"/>
    <row r="17" spans="1:8" s="74" customFormat="1" ht="5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  <c r="H17" s="72" t="s">
        <v>192</v>
      </c>
    </row>
    <row r="18" spans="1:8" s="168" customFormat="1" ht="28.5">
      <c r="A18" s="75" t="s">
        <v>14</v>
      </c>
      <c r="B18" s="41" t="s">
        <v>15</v>
      </c>
      <c r="C18" s="136">
        <f>C19+C20+C21+C22</f>
        <v>9.879999999999999</v>
      </c>
      <c r="D18" s="76">
        <v>545241.27</v>
      </c>
      <c r="E18" s="76">
        <v>546049.44</v>
      </c>
      <c r="F18" s="76">
        <f>D18</f>
        <v>545241.27</v>
      </c>
      <c r="G18" s="77">
        <f>D18-E18</f>
        <v>-808.1699999999255</v>
      </c>
      <c r="H18" s="16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190944.81722672068</v>
      </c>
      <c r="E19" s="83">
        <f>E18*I19</f>
        <v>191227.84032388663</v>
      </c>
      <c r="F19" s="83">
        <f>D19</f>
        <v>190944.81722672068</v>
      </c>
      <c r="G19" s="84">
        <f>D19-E19</f>
        <v>-283.02309716594755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93264.95407894737</v>
      </c>
      <c r="E20" s="83">
        <f>E18*I20</f>
        <v>93403.19368421052</v>
      </c>
      <c r="F20" s="83">
        <f>D20</f>
        <v>93264.95407894737</v>
      </c>
      <c r="G20" s="84">
        <f aca="true" t="shared" si="0" ref="G20:G32">D20-E20</f>
        <v>-138.23960526315204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93264.95407894737</v>
      </c>
      <c r="E21" s="83">
        <f>E18*I21</f>
        <v>93403.19368421052</v>
      </c>
      <c r="F21" s="83">
        <f>D21</f>
        <v>93264.95407894737</v>
      </c>
      <c r="G21" s="84">
        <f t="shared" si="0"/>
        <v>-138.23960526315204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167766.54461538463</v>
      </c>
      <c r="E22" s="83">
        <f>E18*I22</f>
        <v>168015.2123076923</v>
      </c>
      <c r="F22" s="83">
        <f>D22</f>
        <v>167766.54461538463</v>
      </c>
      <c r="G22" s="84">
        <f t="shared" si="0"/>
        <v>-248.66769230767386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451</v>
      </c>
      <c r="C23" s="97">
        <v>120</v>
      </c>
      <c r="D23" s="77">
        <v>0</v>
      </c>
      <c r="E23" s="77">
        <v>0</v>
      </c>
      <c r="F23" s="76">
        <f aca="true" t="shared" si="1" ref="F23:F32">D23</f>
        <v>0</v>
      </c>
      <c r="G23" s="77">
        <f t="shared" si="0"/>
        <v>0</v>
      </c>
    </row>
    <row r="24" spans="1:7" s="39" customFormat="1" ht="14.2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0"/>
        <v>0</v>
      </c>
    </row>
    <row r="25" spans="1:7" s="39" customFormat="1" ht="14.25">
      <c r="A25" s="41" t="s">
        <v>29</v>
      </c>
      <c r="B25" s="141" t="s">
        <v>163</v>
      </c>
      <c r="C25" s="142">
        <v>1902.11</v>
      </c>
      <c r="D25" s="77"/>
      <c r="E25" s="77"/>
      <c r="F25" s="76">
        <f t="shared" si="1"/>
        <v>0</v>
      </c>
      <c r="G25" s="77">
        <f t="shared" si="0"/>
        <v>0</v>
      </c>
    </row>
    <row r="26" spans="1:7" s="39" customFormat="1" ht="14.25">
      <c r="A26" s="41" t="s">
        <v>31</v>
      </c>
      <c r="B26" s="141" t="s">
        <v>116</v>
      </c>
      <c r="C26" s="97">
        <v>3</v>
      </c>
      <c r="D26" s="77">
        <v>127951.2</v>
      </c>
      <c r="E26" s="77">
        <v>130885.2</v>
      </c>
      <c r="F26" s="76">
        <f>F43</f>
        <v>44308.852</v>
      </c>
      <c r="G26" s="77">
        <f t="shared" si="0"/>
        <v>-2934</v>
      </c>
    </row>
    <row r="27" spans="1:7" s="39" customFormat="1" ht="14.25">
      <c r="A27" s="41" t="s">
        <v>33</v>
      </c>
      <c r="B27" s="135" t="s">
        <v>34</v>
      </c>
      <c r="C27" s="46">
        <v>0</v>
      </c>
      <c r="D27" s="77">
        <v>0</v>
      </c>
      <c r="E27" s="77">
        <v>559.92</v>
      </c>
      <c r="F27" s="76">
        <f>D27</f>
        <v>0</v>
      </c>
      <c r="G27" s="77">
        <f t="shared" si="0"/>
        <v>-559.92</v>
      </c>
    </row>
    <row r="28" spans="1:7" s="39" customFormat="1" ht="14.25">
      <c r="A28" s="41" t="s">
        <v>35</v>
      </c>
      <c r="B28" s="135" t="s">
        <v>36</v>
      </c>
      <c r="C28" s="97"/>
      <c r="D28" s="77">
        <f>SUM(D29:D32)</f>
        <v>1602903.24</v>
      </c>
      <c r="E28" s="77">
        <f>SUM(E29:E32)</f>
        <v>1609276.44</v>
      </c>
      <c r="F28" s="76">
        <f t="shared" si="1"/>
        <v>1602903.24</v>
      </c>
      <c r="G28" s="77">
        <f t="shared" si="0"/>
        <v>-6373.199999999953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33905.84</v>
      </c>
      <c r="E29" s="84">
        <v>34020.66</v>
      </c>
      <c r="F29" s="83">
        <f>D29</f>
        <v>33905.84</v>
      </c>
      <c r="G29" s="84">
        <f t="shared" si="0"/>
        <v>-114.82000000000698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524839.04</v>
      </c>
      <c r="E30" s="84">
        <v>514950.39</v>
      </c>
      <c r="F30" s="83">
        <f t="shared" si="1"/>
        <v>524839.04</v>
      </c>
      <c r="G30" s="84">
        <f t="shared" si="0"/>
        <v>9888.650000000023</v>
      </c>
    </row>
    <row r="31" spans="1:7" ht="15">
      <c r="A31" s="34" t="s">
        <v>42</v>
      </c>
      <c r="B31" s="140" t="s">
        <v>421</v>
      </c>
      <c r="C31" s="290">
        <v>0</v>
      </c>
      <c r="D31" s="84">
        <v>0</v>
      </c>
      <c r="E31" s="84">
        <v>0</v>
      </c>
      <c r="F31" s="83">
        <f t="shared" si="1"/>
        <v>0</v>
      </c>
      <c r="G31" s="84">
        <f t="shared" si="0"/>
        <v>0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1044158.36</v>
      </c>
      <c r="E32" s="84">
        <v>1060305.39</v>
      </c>
      <c r="F32" s="83">
        <f t="shared" si="1"/>
        <v>1044158.36</v>
      </c>
      <c r="G32" s="84">
        <f t="shared" si="0"/>
        <v>-16147.029999999912</v>
      </c>
    </row>
    <row r="33" spans="1:10" s="102" customFormat="1" ht="15" customHeigh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  <c r="J33" s="101"/>
    </row>
    <row r="34" spans="1:10" s="102" customFormat="1" ht="15" customHeight="1" thickBot="1">
      <c r="A34" s="379" t="s">
        <v>452</v>
      </c>
      <c r="B34" s="380"/>
      <c r="C34" s="380"/>
      <c r="D34" s="381"/>
      <c r="E34" s="381"/>
      <c r="F34" s="381"/>
      <c r="G34" s="101"/>
      <c r="H34" s="101"/>
      <c r="I34" s="101"/>
      <c r="J34" s="101"/>
    </row>
    <row r="35" spans="1:9" s="67" customFormat="1" ht="15.75" thickBot="1">
      <c r="A35" s="391" t="s">
        <v>410</v>
      </c>
      <c r="B35" s="392"/>
      <c r="C35" s="392"/>
      <c r="D35" s="65">
        <v>1166778.6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412</v>
      </c>
      <c r="B37" s="64"/>
      <c r="C37" s="64"/>
      <c r="D37" s="69"/>
      <c r="E37" s="70"/>
      <c r="F37" s="70"/>
      <c r="G37" s="145">
        <f>G14+E27-F27</f>
        <v>-694755.44</v>
      </c>
      <c r="H37" s="62"/>
      <c r="I37" s="62"/>
    </row>
    <row r="38" spans="1:13" s="67" customFormat="1" ht="15.75" thickBot="1">
      <c r="A38" s="63" t="s">
        <v>413</v>
      </c>
      <c r="B38" s="64"/>
      <c r="C38" s="64"/>
      <c r="D38" s="69"/>
      <c r="E38" s="70"/>
      <c r="F38" s="70"/>
      <c r="G38" s="145">
        <f>E26+G15-F26</f>
        <v>-475859.05480000004</v>
      </c>
      <c r="H38" s="62"/>
      <c r="I38" s="62"/>
      <c r="M38" s="146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1:9" ht="25.5" customHeight="1">
      <c r="A40" s="377" t="s">
        <v>44</v>
      </c>
      <c r="B40" s="377"/>
      <c r="C40" s="377"/>
      <c r="D40" s="377"/>
      <c r="E40" s="377"/>
      <c r="F40" s="377"/>
      <c r="G40" s="377"/>
      <c r="H40" s="377"/>
      <c r="I40" s="377"/>
    </row>
    <row r="41" ht="8.25" customHeight="1"/>
    <row r="42" spans="1:7" s="172" customFormat="1" ht="28.5" customHeight="1">
      <c r="A42" s="105" t="s">
        <v>11</v>
      </c>
      <c r="B42" s="177" t="s">
        <v>45</v>
      </c>
      <c r="C42" s="178"/>
      <c r="D42" s="105" t="s">
        <v>165</v>
      </c>
      <c r="E42" s="105" t="s">
        <v>164</v>
      </c>
      <c r="F42" s="401" t="s">
        <v>46</v>
      </c>
      <c r="G42" s="419"/>
    </row>
    <row r="43" spans="1:7" s="115" customFormat="1" ht="13.5" customHeight="1">
      <c r="A43" s="109" t="s">
        <v>47</v>
      </c>
      <c r="B43" s="403" t="s">
        <v>111</v>
      </c>
      <c r="C43" s="425"/>
      <c r="D43" s="173"/>
      <c r="E43" s="173"/>
      <c r="F43" s="433">
        <f>SUM(F44:G47)</f>
        <v>44308.852</v>
      </c>
      <c r="G43" s="434"/>
    </row>
    <row r="44" spans="1:7" ht="13.5" customHeight="1">
      <c r="A44" s="34" t="s">
        <v>16</v>
      </c>
      <c r="B44" s="436" t="s">
        <v>694</v>
      </c>
      <c r="C44" s="437"/>
      <c r="D44" s="152"/>
      <c r="E44" s="186"/>
      <c r="F44" s="435">
        <v>28000</v>
      </c>
      <c r="G44" s="435"/>
    </row>
    <row r="45" spans="1:7" ht="13.5" customHeight="1">
      <c r="A45" s="34" t="s">
        <v>18</v>
      </c>
      <c r="B45" s="436" t="s">
        <v>695</v>
      </c>
      <c r="C45" s="437"/>
      <c r="D45" s="152"/>
      <c r="E45" s="186"/>
      <c r="F45" s="435">
        <v>15000</v>
      </c>
      <c r="G45" s="435"/>
    </row>
    <row r="46" spans="1:7" ht="13.5" customHeight="1">
      <c r="A46" s="34" t="s">
        <v>20</v>
      </c>
      <c r="B46" s="382"/>
      <c r="C46" s="432"/>
      <c r="D46" s="152"/>
      <c r="E46" s="153"/>
      <c r="F46" s="424"/>
      <c r="G46" s="424"/>
    </row>
    <row r="47" spans="1:7" ht="13.5" customHeight="1">
      <c r="A47" s="34" t="s">
        <v>22</v>
      </c>
      <c r="B47" s="436" t="s">
        <v>191</v>
      </c>
      <c r="C47" s="437"/>
      <c r="D47" s="152"/>
      <c r="E47" s="186"/>
      <c r="F47" s="435">
        <f>E26*1%</f>
        <v>1308.852</v>
      </c>
      <c r="G47" s="435"/>
    </row>
    <row r="48" spans="1:7" s="67" customFormat="1" ht="15">
      <c r="A48" s="169"/>
      <c r="B48" s="187"/>
      <c r="C48" s="187"/>
      <c r="D48" s="188"/>
      <c r="E48" s="189"/>
      <c r="F48" s="190"/>
      <c r="G48" s="190"/>
    </row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3.5" customHeight="1">
      <c r="F50" s="127" t="s">
        <v>438</v>
      </c>
    </row>
    <row r="51" s="67" customFormat="1" ht="15">
      <c r="A51" s="67" t="s">
        <v>50</v>
      </c>
    </row>
    <row r="52" spans="3:7" s="67" customFormat="1" ht="15">
      <c r="C52" s="129" t="s">
        <v>51</v>
      </c>
      <c r="E52" s="129"/>
      <c r="F52" s="129"/>
      <c r="G52" s="129"/>
    </row>
    <row r="53" s="67" customFormat="1" ht="15"/>
    <row r="54" s="67" customFormat="1" ht="15"/>
  </sheetData>
  <sheetProtection/>
  <mergeCells count="22">
    <mergeCell ref="F47:G47"/>
    <mergeCell ref="B43:C43"/>
    <mergeCell ref="B47:C47"/>
    <mergeCell ref="B44:C44"/>
    <mergeCell ref="A35:C35"/>
    <mergeCell ref="A40:I40"/>
    <mergeCell ref="F42:G42"/>
    <mergeCell ref="B45:C45"/>
    <mergeCell ref="A1:I1"/>
    <mergeCell ref="A2:I2"/>
    <mergeCell ref="A5:I5"/>
    <mergeCell ref="A10:I10"/>
    <mergeCell ref="A3:K3"/>
    <mergeCell ref="A11:I11"/>
    <mergeCell ref="A12:I12"/>
    <mergeCell ref="A33:F33"/>
    <mergeCell ref="B46:C46"/>
    <mergeCell ref="F46:G46"/>
    <mergeCell ref="F43:G43"/>
    <mergeCell ref="F44:G44"/>
    <mergeCell ref="F45:G45"/>
    <mergeCell ref="A34:F34"/>
  </mergeCells>
  <printOptions/>
  <pageMargins left="0.5905511811023623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zoomScalePageLayoutView="0" workbookViewId="0" topLeftCell="A34">
      <selection activeCell="A44" sqref="A44"/>
    </sheetView>
  </sheetViews>
  <sheetFormatPr defaultColWidth="9.140625" defaultRowHeight="15" outlineLevelCol="1"/>
  <cols>
    <col min="1" max="1" width="5.421875" style="57" customWidth="1"/>
    <col min="2" max="2" width="48.57421875" style="57" customWidth="1"/>
    <col min="3" max="3" width="15.421875" style="57" customWidth="1"/>
    <col min="4" max="4" width="14.8515625" style="57" customWidth="1"/>
    <col min="5" max="5" width="13.57421875" style="57" customWidth="1"/>
    <col min="6" max="6" width="13.00390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10.0039062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2" s="59" customFormat="1" ht="16.5" customHeight="1">
      <c r="A7" s="59" t="s">
        <v>2</v>
      </c>
      <c r="F7" s="60" t="s">
        <v>156</v>
      </c>
      <c r="H7" s="60"/>
      <c r="L7" s="61"/>
    </row>
    <row r="8" spans="1:8" s="59" customFormat="1" ht="12.75">
      <c r="A8" s="59" t="s">
        <v>3</v>
      </c>
      <c r="F8" s="305" t="s">
        <v>494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'[1]Нефтебаза 3'!$G$34</f>
        <v>320998.2284000001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14.25">
      <c r="A16" s="75" t="s">
        <v>14</v>
      </c>
      <c r="B16" s="41" t="s">
        <v>15</v>
      </c>
      <c r="C16" s="136">
        <f>C17+C18+C19+C20</f>
        <v>9.879999999999999</v>
      </c>
      <c r="D16" s="76">
        <v>226779.61</v>
      </c>
      <c r="E16" s="76">
        <v>207445.03</v>
      </c>
      <c r="F16" s="76">
        <f>D16</f>
        <v>226779.61</v>
      </c>
      <c r="G16" s="77">
        <f>D16-E16</f>
        <v>19334.579999999987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79418.77030364373</v>
      </c>
      <c r="E17" s="83">
        <f>E16*I17</f>
        <v>72647.75342105264</v>
      </c>
      <c r="F17" s="83">
        <f>D17</f>
        <v>79418.77030364373</v>
      </c>
      <c r="G17" s="84">
        <f>D17-E17</f>
        <v>6771.016882591095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38791.24907894737</v>
      </c>
      <c r="E18" s="83">
        <f>E16*I18</f>
        <v>35484.018289473686</v>
      </c>
      <c r="F18" s="83">
        <f>D18</f>
        <v>38791.24907894737</v>
      </c>
      <c r="G18" s="84">
        <f>D18-E18</f>
        <v>3307.2307894736805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38791.24907894737</v>
      </c>
      <c r="E19" s="83">
        <f>E16*I19</f>
        <v>35484.018289473686</v>
      </c>
      <c r="F19" s="83">
        <f>D19</f>
        <v>38791.24907894737</v>
      </c>
      <c r="G19" s="84">
        <f>D19-E19</f>
        <v>3307.2307894736805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69778.34153846154</v>
      </c>
      <c r="E20" s="83">
        <f>E16*I20</f>
        <v>63829.240000000005</v>
      </c>
      <c r="F20" s="83">
        <f>D20</f>
        <v>69778.34153846154</v>
      </c>
      <c r="G20" s="84">
        <f>D20-E20</f>
        <v>5949.101538461531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/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10</v>
      </c>
      <c r="D24" s="87">
        <v>214548</v>
      </c>
      <c r="E24" s="87">
        <v>208233.45</v>
      </c>
      <c r="F24" s="87">
        <f>F39</f>
        <v>41752.3345</v>
      </c>
      <c r="G24" s="77">
        <f t="shared" si="0"/>
        <v>6314.549999999988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 t="s">
        <v>334</v>
      </c>
      <c r="D25" s="77"/>
      <c r="E25" s="77"/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972125.67</v>
      </c>
      <c r="E26" s="77">
        <f>SUM(E27:E30)</f>
        <v>948310.02</v>
      </c>
      <c r="F26" s="77">
        <f>SUM(F27:F30)</f>
        <v>972125.67</v>
      </c>
      <c r="G26" s="77">
        <f t="shared" si="0"/>
        <v>23815.650000000023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17064.77</v>
      </c>
      <c r="E27" s="84">
        <v>16575.46</v>
      </c>
      <c r="F27" s="84">
        <f>D27</f>
        <v>17064.77</v>
      </c>
      <c r="G27" s="84">
        <f t="shared" si="0"/>
        <v>489.3100000000013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264358.37</v>
      </c>
      <c r="E28" s="84">
        <v>263636.31</v>
      </c>
      <c r="F28" s="84">
        <f>D28</f>
        <v>264358.37</v>
      </c>
      <c r="G28" s="84">
        <f t="shared" si="0"/>
        <v>722.0599999999977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489</v>
      </c>
      <c r="D30" s="84">
        <v>690702.53</v>
      </c>
      <c r="E30" s="84">
        <v>668098.25</v>
      </c>
      <c r="F30" s="84">
        <f>D30</f>
        <v>690702.53</v>
      </c>
      <c r="G30" s="84">
        <f t="shared" si="0"/>
        <v>22604.280000000028</v>
      </c>
    </row>
    <row r="31" spans="1:9" s="102" customFormat="1" ht="20.2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407248.73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487479.3439000001</v>
      </c>
      <c r="H34" s="62"/>
      <c r="I34" s="62"/>
      <c r="N34" s="146"/>
    </row>
    <row r="35" spans="1:11" s="67" customFormat="1" ht="1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3" s="102" customFormat="1" ht="29.25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101"/>
      <c r="M36" s="101"/>
    </row>
    <row r="38" spans="1:11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4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SUM(F40:G43)</f>
        <v>41752.3345</v>
      </c>
      <c r="G39" s="419"/>
      <c r="H39" s="250"/>
      <c r="I39" s="251"/>
      <c r="J39" s="115"/>
      <c r="K39" s="115"/>
      <c r="N39" s="108"/>
    </row>
    <row r="40" spans="1:14" s="115" customFormat="1" ht="15" customHeight="1">
      <c r="A40" s="34" t="s">
        <v>16</v>
      </c>
      <c r="B40" s="413" t="s">
        <v>606</v>
      </c>
      <c r="C40" s="423"/>
      <c r="D40" s="349" t="s">
        <v>166</v>
      </c>
      <c r="E40" s="349">
        <v>1</v>
      </c>
      <c r="F40" s="451">
        <v>35770</v>
      </c>
      <c r="G40" s="452"/>
      <c r="H40" s="252"/>
      <c r="I40" s="253"/>
      <c r="J40" s="57"/>
      <c r="K40" s="57"/>
      <c r="N40" s="116"/>
    </row>
    <row r="41" spans="1:14" s="115" customFormat="1" ht="15" customHeight="1">
      <c r="A41" s="34" t="s">
        <v>18</v>
      </c>
      <c r="B41" s="382" t="s">
        <v>751</v>
      </c>
      <c r="C41" s="384"/>
      <c r="D41" s="119"/>
      <c r="E41" s="119"/>
      <c r="F41" s="446">
        <v>3900</v>
      </c>
      <c r="G41" s="447"/>
      <c r="H41" s="40"/>
      <c r="I41" s="40"/>
      <c r="J41" s="57"/>
      <c r="K41" s="57"/>
      <c r="N41" s="116"/>
    </row>
    <row r="42" spans="1:14" s="115" customFormat="1" ht="15" customHeight="1">
      <c r="A42" s="34" t="s">
        <v>20</v>
      </c>
      <c r="B42" s="382"/>
      <c r="C42" s="384"/>
      <c r="D42" s="119"/>
      <c r="E42" s="201"/>
      <c r="F42" s="446"/>
      <c r="G42" s="447"/>
      <c r="H42" s="40"/>
      <c r="I42" s="40"/>
      <c r="J42" s="57"/>
      <c r="K42" s="57"/>
      <c r="N42" s="116"/>
    </row>
    <row r="43" spans="1:14" ht="15.75" customHeight="1">
      <c r="A43" s="34" t="s">
        <v>22</v>
      </c>
      <c r="B43" s="440" t="s">
        <v>191</v>
      </c>
      <c r="C43" s="441"/>
      <c r="D43" s="124"/>
      <c r="E43" s="124"/>
      <c r="F43" s="429">
        <f>E24*1%</f>
        <v>2082.3345</v>
      </c>
      <c r="G43" s="429"/>
      <c r="H43" s="59"/>
      <c r="I43" s="59"/>
      <c r="J43" s="59"/>
      <c r="K43" s="59"/>
      <c r="N43" s="120"/>
    </row>
    <row r="44" spans="1:11" ht="7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s="59" customFormat="1" ht="15">
      <c r="A45" s="67" t="s">
        <v>55</v>
      </c>
      <c r="B45" s="67"/>
      <c r="C45" s="126" t="s">
        <v>49</v>
      </c>
      <c r="D45" s="67"/>
      <c r="E45" s="67"/>
      <c r="F45" s="67" t="s">
        <v>90</v>
      </c>
      <c r="G45" s="67"/>
      <c r="H45" s="67"/>
      <c r="I45" s="67"/>
      <c r="J45" s="67"/>
      <c r="K45" s="67"/>
    </row>
    <row r="46" spans="1:7" s="59" customFormat="1" ht="15">
      <c r="A46" s="67"/>
      <c r="B46" s="67"/>
      <c r="C46" s="126"/>
      <c r="D46" s="67"/>
      <c r="E46" s="67"/>
      <c r="F46" s="127" t="s">
        <v>438</v>
      </c>
      <c r="G46" s="67"/>
    </row>
    <row r="47" spans="1:11" s="67" customFormat="1" ht="15">
      <c r="A47" s="67" t="s">
        <v>50</v>
      </c>
      <c r="C47" s="126"/>
      <c r="H47" s="157"/>
      <c r="I47" s="157"/>
      <c r="J47" s="157"/>
      <c r="K47" s="59"/>
    </row>
    <row r="48" spans="1:7" s="59" customFormat="1" ht="15">
      <c r="A48" s="67"/>
      <c r="B48" s="67"/>
      <c r="C48" s="128" t="s">
        <v>51</v>
      </c>
      <c r="D48" s="67"/>
      <c r="E48" s="129"/>
      <c r="F48" s="129"/>
      <c r="G48" s="129"/>
    </row>
    <row r="49" s="59" customFormat="1" ht="12.75"/>
    <row r="50" s="59" customFormat="1" ht="12.75"/>
  </sheetData>
  <sheetProtection/>
  <mergeCells count="22">
    <mergeCell ref="A31:F31"/>
    <mergeCell ref="A11:K11"/>
    <mergeCell ref="A10:K10"/>
    <mergeCell ref="A1:K1"/>
    <mergeCell ref="A2:K2"/>
    <mergeCell ref="A3:K3"/>
    <mergeCell ref="A5:K5"/>
    <mergeCell ref="A9:K9"/>
    <mergeCell ref="A32:C32"/>
    <mergeCell ref="A36:K36"/>
    <mergeCell ref="B38:C38"/>
    <mergeCell ref="F38:G38"/>
    <mergeCell ref="B40:C40"/>
    <mergeCell ref="F40:G40"/>
    <mergeCell ref="B39:C39"/>
    <mergeCell ref="F39:G39"/>
    <mergeCell ref="B43:C43"/>
    <mergeCell ref="F43:G43"/>
    <mergeCell ref="B41:C41"/>
    <mergeCell ref="F41:G41"/>
    <mergeCell ref="B42:C42"/>
    <mergeCell ref="F42:G42"/>
  </mergeCells>
  <printOptions/>
  <pageMargins left="0.7" right="0.7" top="0.75" bottom="0.75" header="0.3" footer="0.3"/>
  <pageSetup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</sheetPr>
  <dimension ref="A1:N46"/>
  <sheetViews>
    <sheetView zoomScalePageLayoutView="0" workbookViewId="0" topLeftCell="A34">
      <selection activeCell="B39" sqref="B39:G39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223</v>
      </c>
      <c r="H7" s="60"/>
    </row>
    <row r="8" spans="1:8" s="59" customFormat="1" ht="12.75">
      <c r="A8" s="59" t="s">
        <v>3</v>
      </c>
      <c r="F8" s="305" t="s">
        <v>354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'[1]Нефтебаза 4'!$G$34</f>
        <v>114534.231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323603.11</v>
      </c>
      <c r="E16" s="76">
        <v>310016.04</v>
      </c>
      <c r="F16" s="76">
        <f aca="true" t="shared" si="0" ref="F16:F23">D16</f>
        <v>323603.11</v>
      </c>
      <c r="G16" s="77">
        <f>D16-E16</f>
        <v>13587.070000000007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113326.59520242915</v>
      </c>
      <c r="E17" s="83">
        <f>E16*I17</f>
        <v>108568.37028340081</v>
      </c>
      <c r="F17" s="83">
        <f t="shared" si="0"/>
        <v>113326.59520242915</v>
      </c>
      <c r="G17" s="84">
        <f>D17-E17</f>
        <v>4758.224919028333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55353.16355263158</v>
      </c>
      <c r="E18" s="83">
        <f>E16*I18</f>
        <v>53029.05947368421</v>
      </c>
      <c r="F18" s="83">
        <f t="shared" si="0"/>
        <v>55353.16355263158</v>
      </c>
      <c r="G18" s="84">
        <f>D18-E18</f>
        <v>2324.10407894737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55353.16355263158</v>
      </c>
      <c r="E19" s="83">
        <f>E16*I19</f>
        <v>53029.05947368421</v>
      </c>
      <c r="F19" s="83">
        <f t="shared" si="0"/>
        <v>55353.16355263158</v>
      </c>
      <c r="G19" s="84">
        <f>D19-E19</f>
        <v>2324.10407894737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99570.18769230769</v>
      </c>
      <c r="E20" s="83">
        <f>E16*I20</f>
        <v>95389.55076923077</v>
      </c>
      <c r="F20" s="83">
        <f t="shared" si="0"/>
        <v>99570.18769230769</v>
      </c>
      <c r="G20" s="84">
        <f>D20-E20</f>
        <v>4180.63692307692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495</v>
      </c>
      <c r="C22" s="46">
        <v>110</v>
      </c>
      <c r="D22" s="87">
        <v>85800</v>
      </c>
      <c r="E22" s="87">
        <v>80453.74</v>
      </c>
      <c r="F22" s="87">
        <f t="shared" si="0"/>
        <v>85800</v>
      </c>
      <c r="G22" s="77">
        <f t="shared" si="1"/>
        <v>5346.259999999995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57573.9</v>
      </c>
      <c r="E24" s="87">
        <v>55996.27</v>
      </c>
      <c r="F24" s="87">
        <f>F38</f>
        <v>559.9626999999999</v>
      </c>
      <c r="G24" s="77">
        <f t="shared" si="1"/>
        <v>1577.6300000000047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1902.11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396351.7</v>
      </c>
      <c r="E26" s="77">
        <f>SUM(E27:E30)</f>
        <v>430655.9</v>
      </c>
      <c r="F26" s="77">
        <f>SUM(F27:F30)</f>
        <v>396351.7</v>
      </c>
      <c r="G26" s="77">
        <f t="shared" si="1"/>
        <v>-34304.20000000001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23235.43</v>
      </c>
      <c r="E27" s="84">
        <v>23068.51</v>
      </c>
      <c r="F27" s="84">
        <f>D27</f>
        <v>23235.43</v>
      </c>
      <c r="G27" s="84">
        <f t="shared" si="1"/>
        <v>166.9200000000019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373116.27</v>
      </c>
      <c r="E28" s="84">
        <v>372244.68</v>
      </c>
      <c r="F28" s="84">
        <f>D28</f>
        <v>373116.27</v>
      </c>
      <c r="G28" s="84">
        <f t="shared" si="1"/>
        <v>871.5900000000256</v>
      </c>
    </row>
    <row r="29" spans="1:7" ht="15">
      <c r="A29" s="34" t="s">
        <v>42</v>
      </c>
      <c r="B29" s="34" t="s">
        <v>421</v>
      </c>
      <c r="C29" s="290">
        <v>0</v>
      </c>
      <c r="D29" s="213">
        <v>0</v>
      </c>
      <c r="E29" s="213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9" t="s">
        <v>489</v>
      </c>
      <c r="D30" s="84">
        <v>0</v>
      </c>
      <c r="E30" s="84">
        <v>35342.71</v>
      </c>
      <c r="F30" s="84">
        <f>D30</f>
        <v>0</v>
      </c>
      <c r="G30" s="84">
        <f t="shared" si="1"/>
        <v>-35342.71</v>
      </c>
    </row>
    <row r="31" spans="1:9" s="102" customFormat="1" ht="21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188799.84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169970.5383</v>
      </c>
      <c r="H34" s="62"/>
      <c r="I34" s="62"/>
    </row>
    <row r="35" spans="1:11" ht="31.5" customHeight="1">
      <c r="A35" s="546" t="s">
        <v>182</v>
      </c>
      <c r="B35" s="547"/>
      <c r="C35" s="547"/>
      <c r="D35" s="547"/>
      <c r="E35" s="547"/>
      <c r="F35" s="547"/>
      <c r="G35" s="54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SUM(F39:G40)</f>
        <v>559.9626999999999</v>
      </c>
      <c r="G38" s="419"/>
      <c r="H38" s="250"/>
      <c r="I38" s="251"/>
      <c r="L38" s="116"/>
    </row>
    <row r="39" spans="1:12" ht="15">
      <c r="A39" s="34" t="s">
        <v>16</v>
      </c>
      <c r="B39" s="382"/>
      <c r="C39" s="432"/>
      <c r="D39" s="119"/>
      <c r="E39" s="153"/>
      <c r="F39" s="429"/>
      <c r="G39" s="429"/>
      <c r="H39" s="252"/>
      <c r="I39" s="253"/>
      <c r="L39" s="120"/>
    </row>
    <row r="40" spans="1:11" s="67" customFormat="1" ht="15">
      <c r="A40" s="34" t="s">
        <v>18</v>
      </c>
      <c r="B40" s="440" t="s">
        <v>191</v>
      </c>
      <c r="C40" s="441"/>
      <c r="D40" s="124"/>
      <c r="E40" s="124"/>
      <c r="F40" s="429">
        <f>E24*1%</f>
        <v>559.9626999999999</v>
      </c>
      <c r="G40" s="429"/>
      <c r="H40" s="59"/>
      <c r="I40" s="59"/>
      <c r="J40" s="59"/>
      <c r="K40" s="59"/>
    </row>
    <row r="41" s="59" customFormat="1" ht="12.75"/>
    <row r="42" spans="1:10" s="59" customFormat="1" ht="15">
      <c r="A42" s="67" t="s">
        <v>55</v>
      </c>
      <c r="B42" s="67"/>
      <c r="C42" s="126" t="s">
        <v>49</v>
      </c>
      <c r="D42" s="67"/>
      <c r="E42" s="67"/>
      <c r="F42" s="67" t="s">
        <v>90</v>
      </c>
      <c r="G42" s="67"/>
      <c r="H42" s="157"/>
      <c r="I42" s="157"/>
      <c r="J42" s="157"/>
    </row>
    <row r="43" spans="1:11" ht="15">
      <c r="A43" s="67"/>
      <c r="B43" s="67"/>
      <c r="C43" s="126"/>
      <c r="D43" s="67"/>
      <c r="E43" s="67"/>
      <c r="F43" s="127" t="s">
        <v>438</v>
      </c>
      <c r="G43" s="67"/>
      <c r="H43" s="59"/>
      <c r="I43" s="59"/>
      <c r="J43" s="59"/>
      <c r="K43" s="59"/>
    </row>
    <row r="44" spans="1:11" ht="15">
      <c r="A44" s="67" t="s">
        <v>50</v>
      </c>
      <c r="B44" s="67"/>
      <c r="C44" s="126"/>
      <c r="D44" s="67"/>
      <c r="E44" s="67"/>
      <c r="F44" s="67"/>
      <c r="G44" s="67"/>
      <c r="H44" s="59"/>
      <c r="I44" s="59"/>
      <c r="J44" s="59"/>
      <c r="K44" s="59"/>
    </row>
    <row r="45" spans="1:7" ht="15">
      <c r="A45" s="67"/>
      <c r="B45" s="67"/>
      <c r="C45" s="128" t="s">
        <v>51</v>
      </c>
      <c r="D45" s="67"/>
      <c r="E45" s="129"/>
      <c r="F45" s="129"/>
      <c r="G45" s="129"/>
    </row>
    <row r="46" spans="1:7" ht="12.75">
      <c r="A46" s="59"/>
      <c r="B46" s="59"/>
      <c r="C46" s="59"/>
      <c r="D46" s="59"/>
      <c r="E46" s="59"/>
      <c r="F46" s="59"/>
      <c r="G46" s="59"/>
    </row>
  </sheetData>
  <sheetProtection/>
  <mergeCells count="18">
    <mergeCell ref="B40:C40"/>
    <mergeCell ref="F40:G40"/>
    <mergeCell ref="B38:C38"/>
    <mergeCell ref="F38:G38"/>
    <mergeCell ref="B39:C39"/>
    <mergeCell ref="F39:G39"/>
    <mergeCell ref="A11:K11"/>
    <mergeCell ref="A32:C32"/>
    <mergeCell ref="B37:C37"/>
    <mergeCell ref="F37:G37"/>
    <mergeCell ref="A35:G35"/>
    <mergeCell ref="A31:F3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A34">
      <selection activeCell="A42" sqref="A42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5" width="13.140625" style="57" customWidth="1"/>
    <col min="6" max="6" width="12.8515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3" s="59" customFormat="1" ht="16.5" customHeight="1">
      <c r="A7" s="59" t="s">
        <v>2</v>
      </c>
      <c r="F7" s="60" t="s">
        <v>157</v>
      </c>
      <c r="H7" s="60"/>
      <c r="L7" s="61"/>
      <c r="M7" s="59" t="s">
        <v>130</v>
      </c>
    </row>
    <row r="8" spans="1:8" s="59" customFormat="1" ht="12.75">
      <c r="A8" s="59" t="s">
        <v>3</v>
      </c>
      <c r="F8" s="305" t="s">
        <v>355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462</v>
      </c>
      <c r="B13" s="64"/>
      <c r="C13" s="64"/>
      <c r="D13" s="69"/>
      <c r="E13" s="70"/>
      <c r="F13" s="70"/>
      <c r="G13" s="65">
        <f>'[1]Нефтебаза 5'!$G$34</f>
        <v>181391.39939999997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14.25">
      <c r="A16" s="75" t="s">
        <v>14</v>
      </c>
      <c r="B16" s="41" t="s">
        <v>15</v>
      </c>
      <c r="C16" s="136">
        <f>C17+C18+C19+C20</f>
        <v>9.879999999999999</v>
      </c>
      <c r="D16" s="76">
        <v>250841.09</v>
      </c>
      <c r="E16" s="76">
        <v>235375.92</v>
      </c>
      <c r="F16" s="76">
        <f>D16</f>
        <v>250841.09</v>
      </c>
      <c r="G16" s="77">
        <f>D16-E16</f>
        <v>15465.169999999984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87845.15904858301</v>
      </c>
      <c r="E17" s="83">
        <f>E16*I17</f>
        <v>82429.21894736843</v>
      </c>
      <c r="F17" s="83">
        <f>D17</f>
        <v>87845.15904858301</v>
      </c>
      <c r="G17" s="84">
        <f>D17-E17</f>
        <v>5415.940101214583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42907.02855263158</v>
      </c>
      <c r="E18" s="83">
        <f>E16*I18</f>
        <v>40261.67052631579</v>
      </c>
      <c r="F18" s="83">
        <f>D18</f>
        <v>42907.02855263158</v>
      </c>
      <c r="G18" s="84">
        <f>D18-E18</f>
        <v>2645.3580263157855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42907.02855263158</v>
      </c>
      <c r="E19" s="83">
        <f>E16*I19</f>
        <v>40261.67052631579</v>
      </c>
      <c r="F19" s="83">
        <f>D19</f>
        <v>42907.02855263158</v>
      </c>
      <c r="G19" s="84">
        <f>D19-E19</f>
        <v>2645.3580263157855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77181.87384615385</v>
      </c>
      <c r="E20" s="83">
        <f>E16*I20</f>
        <v>72423.36000000002</v>
      </c>
      <c r="F20" s="83">
        <f>D20</f>
        <v>77181.87384615385</v>
      </c>
      <c r="G20" s="84">
        <f>D20-E20</f>
        <v>4758.51384615383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/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10</v>
      </c>
      <c r="D24" s="87">
        <v>238902</v>
      </c>
      <c r="E24" s="87">
        <v>238292.57</v>
      </c>
      <c r="F24" s="87">
        <f>F39</f>
        <v>2382.9257000000002</v>
      </c>
      <c r="G24" s="77">
        <f t="shared" si="0"/>
        <v>609.429999999993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 t="s">
        <v>334</v>
      </c>
      <c r="D25" s="77"/>
      <c r="E25" s="77"/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1024075.49</v>
      </c>
      <c r="E26" s="77">
        <f>SUM(E27:E30)</f>
        <v>1019251.4299999999</v>
      </c>
      <c r="F26" s="77">
        <f>SUM(F27:F30)</f>
        <v>1024075.49</v>
      </c>
      <c r="G26" s="77">
        <f t="shared" si="0"/>
        <v>4824.060000000056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19967.32</v>
      </c>
      <c r="E27" s="84">
        <v>19970.44</v>
      </c>
      <c r="F27" s="84">
        <f>D27</f>
        <v>19967.32</v>
      </c>
      <c r="G27" s="84">
        <f t="shared" si="0"/>
        <v>-3.1199999999989814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254792.16</v>
      </c>
      <c r="E28" s="84">
        <v>254871.55</v>
      </c>
      <c r="F28" s="84">
        <f>D28</f>
        <v>254792.16</v>
      </c>
      <c r="G28" s="84">
        <f t="shared" si="0"/>
        <v>-79.38999999998487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489</v>
      </c>
      <c r="D30" s="84">
        <v>749316.01</v>
      </c>
      <c r="E30" s="84">
        <v>744409.44</v>
      </c>
      <c r="F30" s="84">
        <f>D30</f>
        <v>749316.01</v>
      </c>
      <c r="G30" s="84">
        <f t="shared" si="0"/>
        <v>4906.570000000065</v>
      </c>
    </row>
    <row r="31" spans="1:9" s="102" customFormat="1" ht="18.7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532975.67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496</v>
      </c>
      <c r="B34" s="64"/>
      <c r="C34" s="64"/>
      <c r="D34" s="69"/>
      <c r="E34" s="70"/>
      <c r="F34" s="70"/>
      <c r="G34" s="145">
        <f>G13+E24-F24</f>
        <v>417301.0436999999</v>
      </c>
      <c r="H34" s="62"/>
      <c r="I34" s="62"/>
    </row>
    <row r="35" spans="1:13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27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101"/>
      <c r="M36" s="101"/>
    </row>
    <row r="38" spans="1:11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4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SUM(F40:G41)</f>
        <v>2382.9257000000002</v>
      </c>
      <c r="G39" s="419"/>
      <c r="H39" s="250"/>
      <c r="I39" s="251"/>
      <c r="J39" s="115"/>
      <c r="K39" s="115"/>
      <c r="N39" s="108"/>
    </row>
    <row r="40" spans="1:14" s="115" customFormat="1" ht="15">
      <c r="A40" s="34" t="s">
        <v>16</v>
      </c>
      <c r="B40" s="382"/>
      <c r="C40" s="432"/>
      <c r="D40" s="119"/>
      <c r="E40" s="153"/>
      <c r="F40" s="429"/>
      <c r="G40" s="429"/>
      <c r="H40" s="40"/>
      <c r="I40" s="40"/>
      <c r="J40" s="57"/>
      <c r="K40" s="57"/>
      <c r="N40" s="116"/>
    </row>
    <row r="41" spans="1:7" s="59" customFormat="1" ht="15">
      <c r="A41" s="34" t="s">
        <v>18</v>
      </c>
      <c r="B41" s="440" t="s">
        <v>191</v>
      </c>
      <c r="C41" s="441"/>
      <c r="D41" s="124"/>
      <c r="E41" s="124"/>
      <c r="F41" s="429">
        <f>E24*1%</f>
        <v>2382.9257000000002</v>
      </c>
      <c r="G41" s="429"/>
    </row>
    <row r="42" spans="1:11" s="67" customFormat="1" ht="1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s="59" customFormat="1" ht="15">
      <c r="A43" s="67" t="s">
        <v>55</v>
      </c>
      <c r="B43" s="67"/>
      <c r="C43" s="126" t="s">
        <v>49</v>
      </c>
      <c r="D43" s="67"/>
      <c r="E43" s="67"/>
      <c r="F43" s="67" t="s">
        <v>90</v>
      </c>
      <c r="G43" s="67"/>
      <c r="H43" s="67"/>
      <c r="I43" s="67"/>
      <c r="J43" s="67"/>
      <c r="K43" s="67"/>
    </row>
    <row r="44" spans="1:7" s="59" customFormat="1" ht="15">
      <c r="A44" s="67"/>
      <c r="B44" s="67"/>
      <c r="C44" s="126"/>
      <c r="D44" s="67"/>
      <c r="E44" s="67"/>
      <c r="F44" s="127" t="s">
        <v>438</v>
      </c>
      <c r="G44" s="67"/>
    </row>
    <row r="45" spans="1:10" s="59" customFormat="1" ht="15">
      <c r="A45" s="67" t="s">
        <v>50</v>
      </c>
      <c r="B45" s="67"/>
      <c r="C45" s="126"/>
      <c r="D45" s="67"/>
      <c r="E45" s="67"/>
      <c r="F45" s="67"/>
      <c r="G45" s="67"/>
      <c r="H45" s="157"/>
      <c r="I45" s="157"/>
      <c r="J45" s="157"/>
    </row>
    <row r="46" spans="1:7" s="59" customFormat="1" ht="15">
      <c r="A46" s="67"/>
      <c r="B46" s="67"/>
      <c r="C46" s="128" t="s">
        <v>51</v>
      </c>
      <c r="D46" s="67"/>
      <c r="E46" s="129"/>
      <c r="F46" s="129"/>
      <c r="G46" s="129"/>
    </row>
    <row r="47" spans="1:11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</row>
  </sheetData>
  <sheetProtection/>
  <mergeCells count="18">
    <mergeCell ref="B41:C41"/>
    <mergeCell ref="F41:G41"/>
    <mergeCell ref="A10:K10"/>
    <mergeCell ref="A11:K11"/>
    <mergeCell ref="A32:C32"/>
    <mergeCell ref="A36:K36"/>
    <mergeCell ref="B38:C38"/>
    <mergeCell ref="A31:F31"/>
    <mergeCell ref="B39:C39"/>
    <mergeCell ref="F39:G39"/>
    <mergeCell ref="B40:C40"/>
    <mergeCell ref="F40:G40"/>
    <mergeCell ref="A1:K1"/>
    <mergeCell ref="A2:K2"/>
    <mergeCell ref="A3:K3"/>
    <mergeCell ref="A5:K5"/>
    <mergeCell ref="A9:K9"/>
    <mergeCell ref="F38:G3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A37">
      <selection activeCell="A42" sqref="A42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6" width="12.8515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10.00390625" style="57" bestFit="1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3" s="59" customFormat="1" ht="16.5" customHeight="1">
      <c r="A7" s="59" t="s">
        <v>2</v>
      </c>
      <c r="F7" s="60" t="s">
        <v>310</v>
      </c>
      <c r="H7" s="60"/>
      <c r="L7" s="61"/>
      <c r="M7" s="59" t="s">
        <v>130</v>
      </c>
    </row>
    <row r="8" spans="1:8" s="59" customFormat="1" ht="12.75">
      <c r="A8" s="59" t="s">
        <v>3</v>
      </c>
      <c r="F8" s="305" t="s">
        <v>356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'[1]Нефтебаза 6'!$G$34</f>
        <v>13769.468299999993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14.25">
      <c r="A16" s="75" t="s">
        <v>14</v>
      </c>
      <c r="B16" s="41" t="s">
        <v>15</v>
      </c>
      <c r="C16" s="136">
        <f>C17+C18+C19+C20</f>
        <v>9.879999999999999</v>
      </c>
      <c r="D16" s="76">
        <v>282552.99</v>
      </c>
      <c r="E16" s="76">
        <v>280080.89</v>
      </c>
      <c r="F16" s="76">
        <f>D16</f>
        <v>282552.99</v>
      </c>
      <c r="G16" s="77">
        <f>D16-E16</f>
        <v>2472.0999999999767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99">
        <v>3.46</v>
      </c>
      <c r="D17" s="83">
        <f>D16*I17</f>
        <v>98950.74346153847</v>
      </c>
      <c r="E17" s="83">
        <f>E16*I17</f>
        <v>98085.00803643726</v>
      </c>
      <c r="F17" s="83">
        <f>D17</f>
        <v>98950.74346153847</v>
      </c>
      <c r="G17" s="84">
        <f>D17-E17</f>
        <v>865.7354251012148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99">
        <v>1.69</v>
      </c>
      <c r="D18" s="83">
        <f>D16*I18</f>
        <v>48331.4325</v>
      </c>
      <c r="E18" s="83">
        <f>E16*I18</f>
        <v>47908.57328947369</v>
      </c>
      <c r="F18" s="83">
        <f>D18</f>
        <v>48331.4325</v>
      </c>
      <c r="G18" s="84">
        <f>D18-E18</f>
        <v>422.859210526316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99">
        <v>1.69</v>
      </c>
      <c r="D19" s="83">
        <f>D16*I19</f>
        <v>48331.4325</v>
      </c>
      <c r="E19" s="83">
        <f>E16*I19</f>
        <v>47908.57328947369</v>
      </c>
      <c r="F19" s="83">
        <f>D19</f>
        <v>48331.4325</v>
      </c>
      <c r="G19" s="84">
        <f>D19-E19</f>
        <v>422.859210526316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99">
        <v>3.04</v>
      </c>
      <c r="D20" s="83">
        <f>D16*I20</f>
        <v>86939.38153846154</v>
      </c>
      <c r="E20" s="83">
        <f>E16*I20</f>
        <v>86178.7353846154</v>
      </c>
      <c r="F20" s="83">
        <f>D20</f>
        <v>86939.38153846154</v>
      </c>
      <c r="G20" s="84">
        <f>D20-E20</f>
        <v>760.6461538461444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9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9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142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87">
        <v>1.86</v>
      </c>
      <c r="D24" s="87">
        <v>53207.04</v>
      </c>
      <c r="E24" s="87">
        <v>52690.36</v>
      </c>
      <c r="F24" s="87">
        <f>F39</f>
        <v>526.9036</v>
      </c>
      <c r="G24" s="77">
        <f t="shared" si="0"/>
        <v>516.6800000000003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>
        <v>12.54</v>
      </c>
      <c r="D25" s="77">
        <v>0</v>
      </c>
      <c r="E25" s="77">
        <v>0</v>
      </c>
      <c r="F25" s="87"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1368703.46</v>
      </c>
      <c r="E26" s="77">
        <f>SUM(E27:E30)</f>
        <v>1349717.37</v>
      </c>
      <c r="F26" s="77">
        <f>SUM(F27:F30)</f>
        <v>1368703.46</v>
      </c>
      <c r="G26" s="77">
        <f t="shared" si="0"/>
        <v>18986.08999999985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30886.49</v>
      </c>
      <c r="E27" s="84">
        <v>30899.81</v>
      </c>
      <c r="F27" s="84">
        <f>D27</f>
        <v>30886.49</v>
      </c>
      <c r="G27" s="84">
        <f t="shared" si="0"/>
        <v>-13.319999999999709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412504.25</v>
      </c>
      <c r="E28" s="84">
        <v>408440.59</v>
      </c>
      <c r="F28" s="84">
        <f>D28</f>
        <v>412504.25</v>
      </c>
      <c r="G28" s="84">
        <f t="shared" si="0"/>
        <v>4063.6599999999744</v>
      </c>
    </row>
    <row r="29" spans="1:7" ht="15">
      <c r="A29" s="34" t="s">
        <v>42</v>
      </c>
      <c r="B29" s="34" t="s">
        <v>421</v>
      </c>
      <c r="C29" s="290">
        <v>0</v>
      </c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489</v>
      </c>
      <c r="D30" s="84">
        <v>925312.72</v>
      </c>
      <c r="E30" s="84">
        <v>910376.97</v>
      </c>
      <c r="F30" s="84">
        <f>D30</f>
        <v>925312.72</v>
      </c>
      <c r="G30" s="84">
        <f t="shared" si="0"/>
        <v>14935.75</v>
      </c>
    </row>
    <row r="31" spans="1:9" s="102" customFormat="1" ht="21.7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646324.09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4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65932.92469999999</v>
      </c>
      <c r="H34" s="62"/>
      <c r="I34" s="62"/>
      <c r="N34" s="146"/>
    </row>
    <row r="35" spans="1:13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27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101"/>
      <c r="M36" s="101"/>
    </row>
    <row r="38" spans="1:11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4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SUM(F40:G41)</f>
        <v>526.9036</v>
      </c>
      <c r="G39" s="419"/>
      <c r="H39" s="250"/>
      <c r="I39" s="251"/>
      <c r="J39" s="115"/>
      <c r="K39" s="115"/>
      <c r="N39" s="108"/>
    </row>
    <row r="40" spans="1:14" s="115" customFormat="1" ht="15">
      <c r="A40" s="34" t="s">
        <v>16</v>
      </c>
      <c r="B40" s="382"/>
      <c r="C40" s="384"/>
      <c r="D40" s="119"/>
      <c r="E40" s="122"/>
      <c r="F40" s="446"/>
      <c r="G40" s="447"/>
      <c r="H40" s="252"/>
      <c r="I40" s="253"/>
      <c r="J40" s="57"/>
      <c r="K40" s="57"/>
      <c r="N40" s="116"/>
    </row>
    <row r="41" spans="1:7" s="59" customFormat="1" ht="15">
      <c r="A41" s="34" t="s">
        <v>18</v>
      </c>
      <c r="B41" s="440" t="s">
        <v>191</v>
      </c>
      <c r="C41" s="441"/>
      <c r="D41" s="124"/>
      <c r="E41" s="124"/>
      <c r="F41" s="429">
        <f>E24*1%</f>
        <v>526.9036</v>
      </c>
      <c r="G41" s="429"/>
    </row>
    <row r="42" spans="1:11" s="67" customFormat="1" ht="1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s="59" customFormat="1" ht="15">
      <c r="A43" s="67" t="s">
        <v>55</v>
      </c>
      <c r="B43" s="67"/>
      <c r="C43" s="126" t="s">
        <v>49</v>
      </c>
      <c r="D43" s="67"/>
      <c r="E43" s="67"/>
      <c r="F43" s="67" t="s">
        <v>90</v>
      </c>
      <c r="G43" s="67"/>
      <c r="H43" s="67"/>
      <c r="I43" s="67"/>
      <c r="J43" s="67"/>
      <c r="K43" s="67"/>
    </row>
    <row r="44" spans="1:7" s="59" customFormat="1" ht="15">
      <c r="A44" s="67"/>
      <c r="B44" s="67"/>
      <c r="C44" s="126"/>
      <c r="D44" s="67"/>
      <c r="E44" s="67"/>
      <c r="F44" s="127" t="s">
        <v>438</v>
      </c>
      <c r="G44" s="67"/>
    </row>
    <row r="45" spans="1:10" s="59" customFormat="1" ht="15">
      <c r="A45" s="67" t="s">
        <v>50</v>
      </c>
      <c r="B45" s="67"/>
      <c r="C45" s="126"/>
      <c r="D45" s="67"/>
      <c r="E45" s="67"/>
      <c r="F45" s="67"/>
      <c r="G45" s="67"/>
      <c r="H45" s="157"/>
      <c r="I45" s="157"/>
      <c r="J45" s="157"/>
    </row>
    <row r="46" spans="1:7" s="59" customFormat="1" ht="15">
      <c r="A46" s="67"/>
      <c r="B46" s="67"/>
      <c r="C46" s="128" t="s">
        <v>51</v>
      </c>
      <c r="D46" s="67"/>
      <c r="E46" s="129"/>
      <c r="F46" s="129"/>
      <c r="G46" s="129"/>
    </row>
    <row r="47" spans="1:11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</row>
  </sheetData>
  <sheetProtection/>
  <mergeCells count="18">
    <mergeCell ref="B39:C39"/>
    <mergeCell ref="F39:G39"/>
    <mergeCell ref="B38:C38"/>
    <mergeCell ref="F38:G38"/>
    <mergeCell ref="A31:F31"/>
    <mergeCell ref="B41:C41"/>
    <mergeCell ref="F41:G41"/>
    <mergeCell ref="B40:C40"/>
    <mergeCell ref="F40:G40"/>
    <mergeCell ref="A10:K10"/>
    <mergeCell ref="A1:K1"/>
    <mergeCell ref="A2:K2"/>
    <mergeCell ref="A3:K3"/>
    <mergeCell ref="A5:K5"/>
    <mergeCell ref="A9:K9"/>
    <mergeCell ref="A11:K11"/>
    <mergeCell ref="A32:C32"/>
    <mergeCell ref="A36:K3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40">
      <selection activeCell="A44" sqref="A4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158</v>
      </c>
      <c r="H7" s="60"/>
    </row>
    <row r="8" spans="1:8" s="59" customFormat="1" ht="12.75">
      <c r="A8" s="59" t="s">
        <v>3</v>
      </c>
      <c r="F8" s="305" t="s">
        <v>372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'[1]Аэропортовская 14'!$G$35</f>
        <v>55010.35669999998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C17+C18+C19+C20+C21</f>
        <v>12.876516119391834</v>
      </c>
      <c r="D16" s="76">
        <v>826376.96</v>
      </c>
      <c r="E16" s="76">
        <v>791631.09</v>
      </c>
      <c r="F16" s="76">
        <f aca="true" t="shared" si="0" ref="F16:F21">D16</f>
        <v>826376.96</v>
      </c>
      <c r="G16" s="77">
        <f aca="true" t="shared" si="1" ref="G16:G21">D16-E16</f>
        <v>34745.869999999995</v>
      </c>
      <c r="H16" s="78">
        <f aca="true" t="shared" si="2" ref="H16:H21">C16</f>
        <v>12.876516119391834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222052.6309359402</v>
      </c>
      <c r="E17" s="83">
        <f>E16*I17</f>
        <v>212716.1994753412</v>
      </c>
      <c r="F17" s="83">
        <f t="shared" si="0"/>
        <v>222052.6309359402</v>
      </c>
      <c r="G17" s="84">
        <f t="shared" si="1"/>
        <v>9336.431460599008</v>
      </c>
      <c r="H17" s="78">
        <f t="shared" si="2"/>
        <v>3.46</v>
      </c>
      <c r="I17" s="59">
        <f>H17/H16</f>
        <v>0.2687062220804658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108459.23302940432</v>
      </c>
      <c r="E18" s="83">
        <f>E16*I18</f>
        <v>103898.95292292678</v>
      </c>
      <c r="F18" s="83">
        <f t="shared" si="0"/>
        <v>108459.23302940432</v>
      </c>
      <c r="G18" s="84">
        <f t="shared" si="1"/>
        <v>4560.280106477541</v>
      </c>
      <c r="H18" s="78">
        <f t="shared" si="2"/>
        <v>1.69</v>
      </c>
      <c r="I18" s="59">
        <f>H18/H16</f>
        <v>0.13124668072716394</v>
      </c>
    </row>
    <row r="19" spans="1:10" s="59" customFormat="1" ht="15">
      <c r="A19" s="81" t="s">
        <v>20</v>
      </c>
      <c r="B19" s="34" t="s">
        <v>21</v>
      </c>
      <c r="C19" s="82">
        <v>2.15</v>
      </c>
      <c r="D19" s="83">
        <f>D16*I19</f>
        <v>137980.6810729108</v>
      </c>
      <c r="E19" s="83">
        <f>E16*I19</f>
        <v>132179.1412924808</v>
      </c>
      <c r="F19" s="83">
        <f t="shared" si="0"/>
        <v>137980.6810729108</v>
      </c>
      <c r="G19" s="84">
        <f t="shared" si="1"/>
        <v>5801.539780430001</v>
      </c>
      <c r="H19" s="78">
        <f t="shared" si="2"/>
        <v>2.15</v>
      </c>
      <c r="I19" s="59">
        <f>H19/H16</f>
        <v>0.16697062932745707</v>
      </c>
      <c r="J19" s="262"/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195098.2653309995</v>
      </c>
      <c r="E20" s="83">
        <f>E16*I20</f>
        <v>186895.15792053103</v>
      </c>
      <c r="F20" s="83">
        <f t="shared" si="0"/>
        <v>195098.2653309995</v>
      </c>
      <c r="G20" s="84">
        <f t="shared" si="1"/>
        <v>8203.107410468481</v>
      </c>
      <c r="H20" s="78">
        <f t="shared" si="2"/>
        <v>3.04</v>
      </c>
      <c r="I20" s="59">
        <f>H20/H16</f>
        <v>0.23608870379324165</v>
      </c>
    </row>
    <row r="21" spans="1:10" s="59" customFormat="1" ht="15">
      <c r="A21" s="81" t="s">
        <v>24</v>
      </c>
      <c r="B21" s="34" t="s">
        <v>357</v>
      </c>
      <c r="C21" s="82">
        <f>(140*97)/5353.8</f>
        <v>2.536516119391834</v>
      </c>
      <c r="D21" s="83">
        <f>D16*I21</f>
        <v>162786.14963074515</v>
      </c>
      <c r="E21" s="83">
        <f>E16*I21</f>
        <v>155941.63838872017</v>
      </c>
      <c r="F21" s="83">
        <f t="shared" si="0"/>
        <v>162786.14963074515</v>
      </c>
      <c r="G21" s="84">
        <f t="shared" si="1"/>
        <v>6844.511242024979</v>
      </c>
      <c r="H21" s="78">
        <f t="shared" si="2"/>
        <v>2.536516119391834</v>
      </c>
      <c r="I21" s="59">
        <f>H21/H16</f>
        <v>0.19698776407167154</v>
      </c>
      <c r="J21" s="61" t="s">
        <v>276</v>
      </c>
    </row>
    <row r="22" spans="1:11" s="89" customFormat="1" ht="14.25">
      <c r="A22" s="86" t="s">
        <v>25</v>
      </c>
      <c r="B22" s="86" t="s">
        <v>26</v>
      </c>
      <c r="C22" s="46">
        <v>0</v>
      </c>
      <c r="D22" s="87">
        <v>0</v>
      </c>
      <c r="E22" s="87">
        <v>0</v>
      </c>
      <c r="F22" s="87">
        <v>0</v>
      </c>
      <c r="G22" s="77">
        <f aca="true" t="shared" si="3" ref="G22:G31">D22-E22</f>
        <v>0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/>
      <c r="D23" s="87">
        <v>0</v>
      </c>
      <c r="E23" s="87">
        <v>0</v>
      </c>
      <c r="F23" s="87">
        <f>D23</f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30</v>
      </c>
      <c r="C24" s="46">
        <v>0</v>
      </c>
      <c r="D24" s="87">
        <v>0</v>
      </c>
      <c r="E24" s="87">
        <v>0</v>
      </c>
      <c r="F24" s="87"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132380.07</v>
      </c>
      <c r="E25" s="87">
        <v>127135.16</v>
      </c>
      <c r="F25" s="87">
        <f>F40</f>
        <v>2746.0816</v>
      </c>
      <c r="G25" s="77">
        <f t="shared" si="3"/>
        <v>5244.9100000000035</v>
      </c>
      <c r="H25" s="88"/>
      <c r="I25" s="88"/>
      <c r="J25" s="88"/>
      <c r="K25" s="88"/>
    </row>
    <row r="26" spans="1:11" ht="14.25">
      <c r="A26" s="41" t="s">
        <v>33</v>
      </c>
      <c r="B26" s="41" t="s">
        <v>163</v>
      </c>
      <c r="C26" s="97">
        <v>12.54</v>
      </c>
      <c r="D26" s="77">
        <v>0</v>
      </c>
      <c r="E26" s="77">
        <v>0</v>
      </c>
      <c r="F26" s="87"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>
        <v>0</v>
      </c>
      <c r="D27" s="77">
        <f>SUM(D28:D31)</f>
        <v>3284559.74</v>
      </c>
      <c r="E27" s="77">
        <f>SUM(E28:E31)</f>
        <v>3199039.5</v>
      </c>
      <c r="F27" s="77">
        <f>SUM(F28:F31)</f>
        <v>3284559.74</v>
      </c>
      <c r="G27" s="77">
        <f t="shared" si="3"/>
        <v>85520.24000000022</v>
      </c>
      <c r="H27" s="98"/>
      <c r="I27" s="98"/>
      <c r="J27" s="98"/>
      <c r="K27" s="98"/>
    </row>
    <row r="28" spans="1:7" ht="15">
      <c r="A28" s="34" t="s">
        <v>37</v>
      </c>
      <c r="B28" s="34" t="s">
        <v>167</v>
      </c>
      <c r="C28" s="289" t="s">
        <v>406</v>
      </c>
      <c r="D28" s="84">
        <v>67828.18</v>
      </c>
      <c r="E28" s="84">
        <v>66441.62</v>
      </c>
      <c r="F28" s="84">
        <f>D28</f>
        <v>67828.18</v>
      </c>
      <c r="G28" s="84">
        <f t="shared" si="3"/>
        <v>1386.5599999999977</v>
      </c>
    </row>
    <row r="29" spans="1:7" ht="15">
      <c r="A29" s="34" t="s">
        <v>39</v>
      </c>
      <c r="B29" s="34" t="s">
        <v>138</v>
      </c>
      <c r="C29" s="289" t="s">
        <v>409</v>
      </c>
      <c r="D29" s="84">
        <v>419909.6</v>
      </c>
      <c r="E29" s="84">
        <v>425014.01</v>
      </c>
      <c r="F29" s="84">
        <f>D29</f>
        <v>419909.6</v>
      </c>
      <c r="G29" s="84">
        <f t="shared" si="3"/>
        <v>-5104.410000000033</v>
      </c>
    </row>
    <row r="30" spans="1:7" ht="15">
      <c r="A30" s="34" t="s">
        <v>42</v>
      </c>
      <c r="B30" s="34" t="s">
        <v>421</v>
      </c>
      <c r="C30" s="290" t="s">
        <v>497</v>
      </c>
      <c r="D30" s="84">
        <v>714896.92</v>
      </c>
      <c r="E30" s="84">
        <v>716368.14</v>
      </c>
      <c r="F30" s="84">
        <f>D30</f>
        <v>714896.92</v>
      </c>
      <c r="G30" s="84">
        <f t="shared" si="3"/>
        <v>-1471.219999999972</v>
      </c>
    </row>
    <row r="31" spans="1:7" ht="15">
      <c r="A31" s="34" t="s">
        <v>41</v>
      </c>
      <c r="B31" s="34" t="s">
        <v>43</v>
      </c>
      <c r="C31" s="289" t="s">
        <v>489</v>
      </c>
      <c r="D31" s="84">
        <v>2081925.04</v>
      </c>
      <c r="E31" s="84">
        <v>1991215.73</v>
      </c>
      <c r="F31" s="84">
        <f>D31</f>
        <v>2081925.04</v>
      </c>
      <c r="G31" s="84">
        <f t="shared" si="3"/>
        <v>90709.31000000006</v>
      </c>
    </row>
    <row r="32" spans="1:9" s="102" customFormat="1" ht="16.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1841514.3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G13+E25-F25</f>
        <v>179399.43509999997</v>
      </c>
      <c r="H35" s="62"/>
      <c r="I35" s="62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ht="31.5" customHeight="1">
      <c r="A37" s="377" t="s">
        <v>182</v>
      </c>
      <c r="B37" s="417"/>
      <c r="C37" s="417"/>
      <c r="D37" s="417"/>
      <c r="E37" s="417"/>
      <c r="F37" s="417"/>
      <c r="G37" s="417"/>
      <c r="H37" s="58"/>
      <c r="I37" s="58"/>
      <c r="J37" s="58"/>
      <c r="K37" s="58"/>
    </row>
    <row r="39" spans="1:12" s="74" customFormat="1" ht="37.5" customHeight="1">
      <c r="A39" s="105" t="s">
        <v>11</v>
      </c>
      <c r="B39" s="535" t="s">
        <v>45</v>
      </c>
      <c r="C39" s="535"/>
      <c r="D39" s="105" t="s">
        <v>165</v>
      </c>
      <c r="E39" s="105" t="s">
        <v>164</v>
      </c>
      <c r="F39" s="535" t="s">
        <v>46</v>
      </c>
      <c r="G39" s="535"/>
      <c r="H39" s="106"/>
      <c r="I39" s="107"/>
      <c r="L39" s="108"/>
    </row>
    <row r="40" spans="1:12" s="115" customFormat="1" ht="15" customHeight="1">
      <c r="A40" s="109" t="s">
        <v>47</v>
      </c>
      <c r="B40" s="534" t="s">
        <v>111</v>
      </c>
      <c r="C40" s="534"/>
      <c r="D40" s="111"/>
      <c r="E40" s="111"/>
      <c r="F40" s="543">
        <f>SUM(F41:G43)</f>
        <v>2746.0816</v>
      </c>
      <c r="G40" s="544"/>
      <c r="H40" s="113"/>
      <c r="I40" s="114"/>
      <c r="L40" s="116"/>
    </row>
    <row r="41" spans="1:12" s="115" customFormat="1" ht="15" customHeight="1">
      <c r="A41" s="34" t="s">
        <v>16</v>
      </c>
      <c r="B41" s="532" t="s">
        <v>605</v>
      </c>
      <c r="C41" s="532"/>
      <c r="D41" s="119" t="s">
        <v>229</v>
      </c>
      <c r="E41" s="119">
        <v>0.01</v>
      </c>
      <c r="F41" s="431">
        <v>1474.73</v>
      </c>
      <c r="G41" s="431"/>
      <c r="H41" s="113"/>
      <c r="I41" s="114"/>
      <c r="L41" s="116"/>
    </row>
    <row r="42" spans="1:12" s="115" customFormat="1" ht="15" customHeight="1">
      <c r="A42" s="34" t="s">
        <v>18</v>
      </c>
      <c r="B42" s="533"/>
      <c r="C42" s="533"/>
      <c r="D42" s="119"/>
      <c r="E42" s="119"/>
      <c r="F42" s="429"/>
      <c r="G42" s="429"/>
      <c r="H42" s="113"/>
      <c r="I42" s="114"/>
      <c r="L42" s="116"/>
    </row>
    <row r="43" spans="1:11" s="67" customFormat="1" ht="15">
      <c r="A43" s="34" t="s">
        <v>20</v>
      </c>
      <c r="B43" s="531" t="s">
        <v>191</v>
      </c>
      <c r="C43" s="531"/>
      <c r="D43" s="124"/>
      <c r="E43" s="124"/>
      <c r="F43" s="429">
        <f>E25*1%</f>
        <v>1271.3516</v>
      </c>
      <c r="G43" s="429"/>
      <c r="H43" s="59"/>
      <c r="I43" s="59"/>
      <c r="J43" s="59"/>
      <c r="K43" s="59"/>
    </row>
    <row r="44" s="59" customFormat="1" ht="9" customHeight="1"/>
    <row r="45" spans="1:11" s="59" customFormat="1" ht="15">
      <c r="A45" s="67" t="s">
        <v>55</v>
      </c>
      <c r="B45" s="67"/>
      <c r="C45" s="126" t="s">
        <v>49</v>
      </c>
      <c r="D45" s="67"/>
      <c r="E45" s="67"/>
      <c r="F45" s="67" t="s">
        <v>90</v>
      </c>
      <c r="G45" s="67"/>
      <c r="H45" s="67"/>
      <c r="I45" s="67"/>
      <c r="J45" s="67"/>
      <c r="K45" s="67"/>
    </row>
    <row r="46" spans="1:7" s="59" customFormat="1" ht="15">
      <c r="A46" s="67"/>
      <c r="B46" s="67"/>
      <c r="C46" s="126"/>
      <c r="D46" s="67"/>
      <c r="E46" s="67"/>
      <c r="F46" s="127" t="s">
        <v>438</v>
      </c>
      <c r="G46" s="67"/>
    </row>
    <row r="47" spans="1:10" s="59" customFormat="1" ht="15">
      <c r="A47" s="67" t="s">
        <v>50</v>
      </c>
      <c r="B47" s="67"/>
      <c r="C47" s="126"/>
      <c r="D47" s="67"/>
      <c r="E47" s="67"/>
      <c r="F47" s="67"/>
      <c r="G47" s="67"/>
      <c r="H47" s="157"/>
      <c r="I47" s="157"/>
      <c r="J47" s="157"/>
    </row>
    <row r="48" spans="1:11" ht="15">
      <c r="A48" s="67"/>
      <c r="B48" s="67"/>
      <c r="C48" s="128" t="s">
        <v>51</v>
      </c>
      <c r="D48" s="67"/>
      <c r="E48" s="129"/>
      <c r="F48" s="129"/>
      <c r="G48" s="129"/>
      <c r="H48" s="59"/>
      <c r="I48" s="59"/>
      <c r="J48" s="59"/>
      <c r="K48" s="59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</sheetData>
  <sheetProtection/>
  <mergeCells count="20">
    <mergeCell ref="A11:K11"/>
    <mergeCell ref="A33:C33"/>
    <mergeCell ref="F41:G41"/>
    <mergeCell ref="F42:G42"/>
    <mergeCell ref="B40:C40"/>
    <mergeCell ref="F40:G40"/>
    <mergeCell ref="A37:G37"/>
    <mergeCell ref="A32:F32"/>
    <mergeCell ref="B39:C39"/>
    <mergeCell ref="F39:G39"/>
    <mergeCell ref="B43:C43"/>
    <mergeCell ref="F43:G43"/>
    <mergeCell ref="B41:C41"/>
    <mergeCell ref="B42:C42"/>
    <mergeCell ref="A10:K10"/>
    <mergeCell ref="A1:K1"/>
    <mergeCell ref="A2:K2"/>
    <mergeCell ref="A3:K3"/>
    <mergeCell ref="A5:K5"/>
    <mergeCell ref="A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7030A0"/>
  </sheetPr>
  <dimension ref="A1:K49"/>
  <sheetViews>
    <sheetView zoomScalePageLayoutView="0" workbookViewId="0" topLeftCell="A35">
      <selection activeCell="B41" sqref="B41:G42"/>
    </sheetView>
  </sheetViews>
  <sheetFormatPr defaultColWidth="9.140625" defaultRowHeight="15" outlineLevelCol="1"/>
  <cols>
    <col min="1" max="1" width="5.421875" style="57" customWidth="1"/>
    <col min="2" max="2" width="48.8515625" style="57" customWidth="1"/>
    <col min="3" max="3" width="14.28125" style="57" customWidth="1"/>
    <col min="4" max="4" width="14.8515625" style="57" customWidth="1"/>
    <col min="5" max="5" width="13.140625" style="57" customWidth="1"/>
    <col min="6" max="6" width="15.7109375" style="57" customWidth="1"/>
    <col min="7" max="7" width="14.57421875" style="57" customWidth="1"/>
    <col min="8" max="9" width="11.57421875" style="57" hidden="1" customWidth="1" outlineLevel="1"/>
    <col min="10" max="10" width="9.140625" style="57" customWidth="1" collapsed="1"/>
    <col min="11" max="16384" width="9.140625" style="57" customWidth="1"/>
  </cols>
  <sheetData>
    <row r="1" spans="1:9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</row>
    <row r="3" spans="1:9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</row>
    <row r="7" spans="1:8" s="59" customFormat="1" ht="16.5" customHeight="1">
      <c r="A7" s="59" t="s">
        <v>2</v>
      </c>
      <c r="F7" s="60" t="s">
        <v>159</v>
      </c>
      <c r="H7" s="60"/>
    </row>
    <row r="8" spans="1:8" s="59" customFormat="1" ht="12.75">
      <c r="A8" s="59" t="s">
        <v>3</v>
      </c>
      <c r="F8" s="305" t="s">
        <v>298</v>
      </c>
      <c r="H8" s="60"/>
    </row>
    <row r="9" spans="1:9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</row>
    <row r="10" spans="1:9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</row>
    <row r="11" spans="1:9" s="59" customFormat="1" ht="15.75" customHeight="1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'[1]Дорожная 11 корп1'!$G$35</f>
        <v>125548.07029999999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1" s="59" customFormat="1" ht="14.25">
      <c r="A16" s="75" t="s">
        <v>14</v>
      </c>
      <c r="B16" s="41" t="s">
        <v>15</v>
      </c>
      <c r="C16" s="46">
        <f>C17+C18+C19+C20</f>
        <v>9.34</v>
      </c>
      <c r="D16" s="76">
        <v>286374</v>
      </c>
      <c r="E16" s="76">
        <v>276817.96</v>
      </c>
      <c r="F16" s="76">
        <f aca="true" t="shared" si="0" ref="F16:F23">D16</f>
        <v>286374</v>
      </c>
      <c r="G16" s="77">
        <f aca="true" t="shared" si="1" ref="G16:G21">D16-E16</f>
        <v>9556.039999999979</v>
      </c>
      <c r="H16" s="78">
        <f aca="true" t="shared" si="2" ref="H16:H21">C16</f>
        <v>9.34</v>
      </c>
      <c r="I16" s="79"/>
      <c r="J16" s="79"/>
      <c r="K16" s="79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106087.15631691649</v>
      </c>
      <c r="E17" s="83">
        <f>E16*I17</f>
        <v>102547.12436830836</v>
      </c>
      <c r="F17" s="83">
        <f t="shared" si="0"/>
        <v>106087.15631691649</v>
      </c>
      <c r="G17" s="84">
        <f t="shared" si="1"/>
        <v>3540.031948608128</v>
      </c>
      <c r="H17" s="78">
        <f t="shared" si="2"/>
        <v>3.46</v>
      </c>
      <c r="I17" s="59">
        <f>H17/H16</f>
        <v>0.37044967880085655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51817.13704496788</v>
      </c>
      <c r="E18" s="83">
        <f>E16*I18</f>
        <v>50088.04629550322</v>
      </c>
      <c r="F18" s="83">
        <f t="shared" si="0"/>
        <v>51817.13704496788</v>
      </c>
      <c r="G18" s="84">
        <f t="shared" si="1"/>
        <v>1729.09074946466</v>
      </c>
      <c r="H18" s="78">
        <f t="shared" si="2"/>
        <v>1.69</v>
      </c>
      <c r="I18" s="59">
        <f>H18/H16</f>
        <v>0.1809421841541756</v>
      </c>
    </row>
    <row r="19" spans="1:9" s="59" customFormat="1" ht="15">
      <c r="A19" s="81" t="s">
        <v>20</v>
      </c>
      <c r="B19" s="34" t="s">
        <v>21</v>
      </c>
      <c r="C19" s="85">
        <v>1.15</v>
      </c>
      <c r="D19" s="83">
        <f>D16*I19</f>
        <v>35260.18201284796</v>
      </c>
      <c r="E19" s="83">
        <f>E16*I19</f>
        <v>34083.581798715204</v>
      </c>
      <c r="F19" s="83">
        <f t="shared" si="0"/>
        <v>35260.18201284796</v>
      </c>
      <c r="G19" s="84">
        <f t="shared" si="1"/>
        <v>1176.6002141327554</v>
      </c>
      <c r="H19" s="78">
        <f t="shared" si="2"/>
        <v>1.15</v>
      </c>
      <c r="I19" s="59">
        <f>H19/H16</f>
        <v>0.12312633832976444</v>
      </c>
    </row>
    <row r="20" spans="1:9" s="59" customFormat="1" ht="14.25" customHeight="1">
      <c r="A20" s="81" t="s">
        <v>22</v>
      </c>
      <c r="B20" s="34" t="s">
        <v>23</v>
      </c>
      <c r="C20" s="85">
        <v>3.04</v>
      </c>
      <c r="D20" s="83">
        <f>D16*I20</f>
        <v>93209.52462526767</v>
      </c>
      <c r="E20" s="83">
        <f>E16*I20</f>
        <v>90099.20753747324</v>
      </c>
      <c r="F20" s="83">
        <f t="shared" si="0"/>
        <v>93209.52462526767</v>
      </c>
      <c r="G20" s="84">
        <f t="shared" si="1"/>
        <v>3110.317087794436</v>
      </c>
      <c r="H20" s="78">
        <f t="shared" si="2"/>
        <v>3.04</v>
      </c>
      <c r="I20" s="59">
        <f>H20/H16</f>
        <v>0.32548179871520344</v>
      </c>
    </row>
    <row r="21" spans="1:8" s="59" customFormat="1" ht="14.25" customHeight="1">
      <c r="A21" s="75" t="s">
        <v>25</v>
      </c>
      <c r="B21" s="41" t="s">
        <v>299</v>
      </c>
      <c r="C21" s="97">
        <v>2.51</v>
      </c>
      <c r="D21" s="76">
        <v>76878.48</v>
      </c>
      <c r="E21" s="76">
        <v>74395.93</v>
      </c>
      <c r="F21" s="76">
        <f>D21</f>
        <v>76878.48</v>
      </c>
      <c r="G21" s="77">
        <f t="shared" si="1"/>
        <v>2482.550000000003</v>
      </c>
      <c r="H21" s="78">
        <f t="shared" si="2"/>
        <v>2.51</v>
      </c>
    </row>
    <row r="22" spans="1:11" s="89" customFormat="1" ht="14.25">
      <c r="A22" s="86" t="s">
        <v>27</v>
      </c>
      <c r="B22" s="86" t="s">
        <v>26</v>
      </c>
      <c r="C22" s="46">
        <v>3.86</v>
      </c>
      <c r="D22" s="87">
        <v>118227.12</v>
      </c>
      <c r="E22" s="87">
        <v>114401.37</v>
      </c>
      <c r="F22" s="87">
        <f t="shared" si="0"/>
        <v>118227.12</v>
      </c>
      <c r="G22" s="77">
        <f aca="true" t="shared" si="3" ref="G22:G31">D22-E22</f>
        <v>3825.75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28</v>
      </c>
      <c r="C23" s="46"/>
      <c r="D23" s="87">
        <v>0</v>
      </c>
      <c r="E23" s="87">
        <v>0</v>
      </c>
      <c r="F23" s="87">
        <f t="shared" si="0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163</v>
      </c>
      <c r="C24" s="46">
        <v>12.54</v>
      </c>
      <c r="D24" s="87">
        <v>0</v>
      </c>
      <c r="E24" s="87">
        <v>0</v>
      </c>
      <c r="F24" s="87">
        <f>D24</f>
        <v>0</v>
      </c>
      <c r="G24" s="77">
        <f t="shared" si="3"/>
        <v>0</v>
      </c>
      <c r="H24" s="88"/>
      <c r="I24" s="88"/>
      <c r="J24" s="88"/>
      <c r="K24" s="88"/>
    </row>
    <row r="25" spans="1:11" s="89" customFormat="1" ht="14.25">
      <c r="A25" s="86" t="s">
        <v>199</v>
      </c>
      <c r="B25" s="86" t="s">
        <v>116</v>
      </c>
      <c r="C25" s="95">
        <v>1.66</v>
      </c>
      <c r="D25" s="87">
        <v>50843.76</v>
      </c>
      <c r="E25" s="87">
        <v>49199.33</v>
      </c>
      <c r="F25" s="87">
        <f>F40</f>
        <v>23991.123299999996</v>
      </c>
      <c r="G25" s="77">
        <f t="shared" si="3"/>
        <v>1644.4300000000003</v>
      </c>
      <c r="H25" s="88"/>
      <c r="I25" s="88"/>
      <c r="J25" s="88"/>
      <c r="K25" s="88"/>
    </row>
    <row r="26" spans="1:11" ht="14.25">
      <c r="A26" s="41" t="s">
        <v>257</v>
      </c>
      <c r="B26" s="41" t="s">
        <v>34</v>
      </c>
      <c r="C26" s="97">
        <v>0</v>
      </c>
      <c r="D26" s="77">
        <v>0</v>
      </c>
      <c r="E26" s="77">
        <v>0</v>
      </c>
      <c r="F26" s="87"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204</v>
      </c>
      <c r="B27" s="41" t="s">
        <v>36</v>
      </c>
      <c r="C27" s="97">
        <v>0</v>
      </c>
      <c r="D27" s="77">
        <f>SUM(D28:D31)</f>
        <v>283559.64</v>
      </c>
      <c r="E27" s="77">
        <f>SUM(E28:E31)</f>
        <v>279042.65</v>
      </c>
      <c r="F27" s="77">
        <f>SUM(F28:F31)</f>
        <v>283559.64</v>
      </c>
      <c r="G27" s="77">
        <f t="shared" si="3"/>
        <v>4516.989999999991</v>
      </c>
      <c r="H27" s="98"/>
      <c r="I27" s="98"/>
      <c r="J27" s="98"/>
      <c r="K27" s="98"/>
    </row>
    <row r="28" spans="1:7" ht="15">
      <c r="A28" s="34" t="s">
        <v>206</v>
      </c>
      <c r="B28" s="34" t="s">
        <v>167</v>
      </c>
      <c r="C28" s="289" t="s">
        <v>406</v>
      </c>
      <c r="D28" s="84">
        <v>51645.57</v>
      </c>
      <c r="E28" s="84">
        <v>50244.09</v>
      </c>
      <c r="F28" s="84">
        <f>D28</f>
        <v>51645.57</v>
      </c>
      <c r="G28" s="84">
        <f t="shared" si="3"/>
        <v>1401.4800000000032</v>
      </c>
    </row>
    <row r="29" spans="1:7" ht="15">
      <c r="A29" s="34" t="s">
        <v>207</v>
      </c>
      <c r="B29" s="34" t="s">
        <v>138</v>
      </c>
      <c r="C29" s="289" t="s">
        <v>409</v>
      </c>
      <c r="D29" s="84">
        <v>231914.07</v>
      </c>
      <c r="E29" s="84">
        <v>228798.56</v>
      </c>
      <c r="F29" s="84">
        <f>D29</f>
        <v>231914.07</v>
      </c>
      <c r="G29" s="84">
        <f t="shared" si="3"/>
        <v>3115.5100000000093</v>
      </c>
    </row>
    <row r="30" spans="1:7" ht="15">
      <c r="A30" s="34" t="s">
        <v>208</v>
      </c>
      <c r="B30" s="34" t="s">
        <v>421</v>
      </c>
      <c r="C30" s="144"/>
      <c r="D30" s="84">
        <v>0</v>
      </c>
      <c r="E30" s="84">
        <v>0</v>
      </c>
      <c r="F30" s="84">
        <f>D30</f>
        <v>0</v>
      </c>
      <c r="G30" s="84">
        <f t="shared" si="3"/>
        <v>0</v>
      </c>
    </row>
    <row r="31" spans="1:7" ht="15">
      <c r="A31" s="34" t="s">
        <v>209</v>
      </c>
      <c r="B31" s="34" t="s">
        <v>43</v>
      </c>
      <c r="C31" s="144"/>
      <c r="D31" s="84">
        <v>0</v>
      </c>
      <c r="E31" s="84">
        <v>0</v>
      </c>
      <c r="F31" s="84">
        <f>D31</f>
        <v>0</v>
      </c>
      <c r="G31" s="84">
        <f t="shared" si="3"/>
        <v>0</v>
      </c>
    </row>
    <row r="32" spans="1:9" s="102" customFormat="1" ht="16.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126304.36</v>
      </c>
      <c r="E33" s="66"/>
      <c r="F33" s="66"/>
      <c r="G33" s="66"/>
      <c r="H33" s="62"/>
      <c r="I33" s="62"/>
    </row>
    <row r="34" spans="1:9" s="67" customFormat="1" ht="9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G13+E25-F25</f>
        <v>150756.27699999997</v>
      </c>
      <c r="H35" s="62"/>
      <c r="I35" s="62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ht="28.5" customHeight="1">
      <c r="A37" s="377" t="s">
        <v>182</v>
      </c>
      <c r="B37" s="377"/>
      <c r="C37" s="377"/>
      <c r="D37" s="377"/>
      <c r="E37" s="377"/>
      <c r="F37" s="377"/>
      <c r="G37" s="377"/>
      <c r="H37" s="148"/>
      <c r="I37" s="148"/>
      <c r="J37" s="148"/>
      <c r="K37" s="148"/>
    </row>
    <row r="39" spans="1:7" s="74" customFormat="1" ht="28.5">
      <c r="A39" s="105" t="s">
        <v>11</v>
      </c>
      <c r="B39" s="401" t="s">
        <v>45</v>
      </c>
      <c r="C39" s="420"/>
      <c r="D39" s="105" t="s">
        <v>165</v>
      </c>
      <c r="E39" s="105" t="s">
        <v>164</v>
      </c>
      <c r="F39" s="401" t="s">
        <v>46</v>
      </c>
      <c r="G39" s="420"/>
    </row>
    <row r="40" spans="1:7" s="115" customFormat="1" ht="15">
      <c r="A40" s="109" t="s">
        <v>47</v>
      </c>
      <c r="B40" s="403" t="s">
        <v>111</v>
      </c>
      <c r="C40" s="425"/>
      <c r="D40" s="111"/>
      <c r="E40" s="111"/>
      <c r="F40" s="430">
        <f>SUM(F41:G43)</f>
        <v>23991.123299999996</v>
      </c>
      <c r="G40" s="419"/>
    </row>
    <row r="41" spans="1:7" s="115" customFormat="1" ht="15">
      <c r="A41" s="34" t="s">
        <v>16</v>
      </c>
      <c r="B41" s="427" t="s">
        <v>162</v>
      </c>
      <c r="C41" s="428"/>
      <c r="D41" s="351" t="s">
        <v>169</v>
      </c>
      <c r="E41" s="351">
        <v>850</v>
      </c>
      <c r="F41" s="431">
        <v>9129</v>
      </c>
      <c r="G41" s="431"/>
    </row>
    <row r="42" spans="1:7" s="115" customFormat="1" ht="15">
      <c r="A42" s="34" t="s">
        <v>18</v>
      </c>
      <c r="B42" s="427" t="s">
        <v>604</v>
      </c>
      <c r="C42" s="428"/>
      <c r="D42" s="351" t="s">
        <v>166</v>
      </c>
      <c r="E42" s="351">
        <v>6</v>
      </c>
      <c r="F42" s="431">
        <v>14370.13</v>
      </c>
      <c r="G42" s="431"/>
    </row>
    <row r="43" spans="1:9" s="59" customFormat="1" ht="15">
      <c r="A43" s="34" t="s">
        <v>20</v>
      </c>
      <c r="B43" s="440" t="s">
        <v>191</v>
      </c>
      <c r="C43" s="441"/>
      <c r="D43" s="124"/>
      <c r="E43" s="124"/>
      <c r="F43" s="429">
        <f>E25*1%</f>
        <v>491.99330000000003</v>
      </c>
      <c r="G43" s="429"/>
      <c r="H43" s="57"/>
      <c r="I43" s="57"/>
    </row>
    <row r="44" s="59" customFormat="1" ht="12.75"/>
    <row r="45" spans="1:11" s="59" customFormat="1" ht="15">
      <c r="A45" s="67" t="s">
        <v>55</v>
      </c>
      <c r="B45" s="67"/>
      <c r="C45" s="126" t="s">
        <v>49</v>
      </c>
      <c r="D45" s="67"/>
      <c r="E45" s="67"/>
      <c r="F45" s="67" t="s">
        <v>90</v>
      </c>
      <c r="G45" s="67"/>
      <c r="H45" s="67"/>
      <c r="I45" s="67"/>
      <c r="J45" s="67"/>
      <c r="K45" s="67"/>
    </row>
    <row r="46" spans="1:11" ht="15">
      <c r="A46" s="67"/>
      <c r="B46" s="67"/>
      <c r="C46" s="126"/>
      <c r="D46" s="67"/>
      <c r="E46" s="67"/>
      <c r="F46" s="127" t="s">
        <v>438</v>
      </c>
      <c r="G46" s="67"/>
      <c r="H46" s="59"/>
      <c r="I46" s="59"/>
      <c r="J46" s="59"/>
      <c r="K46" s="59"/>
    </row>
    <row r="47" spans="1:11" ht="15">
      <c r="A47" s="67" t="s">
        <v>50</v>
      </c>
      <c r="B47" s="67"/>
      <c r="C47" s="126"/>
      <c r="D47" s="67"/>
      <c r="E47" s="67"/>
      <c r="F47" s="67"/>
      <c r="G47" s="67"/>
      <c r="H47" s="157"/>
      <c r="I47" s="157"/>
      <c r="J47" s="157"/>
      <c r="K47" s="59"/>
    </row>
    <row r="48" spans="1:11" ht="15">
      <c r="A48" s="67"/>
      <c r="B48" s="128"/>
      <c r="C48" s="128" t="s">
        <v>51</v>
      </c>
      <c r="D48" s="129"/>
      <c r="E48" s="129"/>
      <c r="F48" s="67"/>
      <c r="G48" s="67"/>
      <c r="H48" s="157"/>
      <c r="I48" s="157"/>
      <c r="J48" s="157"/>
      <c r="K48" s="59"/>
    </row>
    <row r="49" spans="1:11" ht="15">
      <c r="A49" s="67"/>
      <c r="B49" s="128"/>
      <c r="C49" s="128"/>
      <c r="D49" s="129"/>
      <c r="E49" s="129"/>
      <c r="F49" s="67"/>
      <c r="G49" s="67"/>
      <c r="H49" s="157"/>
      <c r="I49" s="157"/>
      <c r="J49" s="157"/>
      <c r="K49" s="59"/>
    </row>
  </sheetData>
  <sheetProtection/>
  <mergeCells count="20">
    <mergeCell ref="B42:C42"/>
    <mergeCell ref="F41:G41"/>
    <mergeCell ref="F42:G42"/>
    <mergeCell ref="A11:I11"/>
    <mergeCell ref="A10:I10"/>
    <mergeCell ref="A1:I1"/>
    <mergeCell ref="A2:I2"/>
    <mergeCell ref="A3:I3"/>
    <mergeCell ref="A5:I5"/>
    <mergeCell ref="A9:I9"/>
    <mergeCell ref="A32:F32"/>
    <mergeCell ref="A33:C33"/>
    <mergeCell ref="B39:C39"/>
    <mergeCell ref="F39:G39"/>
    <mergeCell ref="B43:C43"/>
    <mergeCell ref="F43:G43"/>
    <mergeCell ref="B40:C40"/>
    <mergeCell ref="F40:G40"/>
    <mergeCell ref="A37:G37"/>
    <mergeCell ref="B41:C4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7030A0"/>
  </sheetPr>
  <dimension ref="A1:K47"/>
  <sheetViews>
    <sheetView zoomScalePageLayoutView="0" workbookViewId="0" topLeftCell="A34">
      <selection activeCell="A43" sqref="A43"/>
    </sheetView>
  </sheetViews>
  <sheetFormatPr defaultColWidth="9.140625" defaultRowHeight="15" outlineLevelCol="1"/>
  <cols>
    <col min="1" max="1" width="6.00390625" style="57" customWidth="1"/>
    <col min="2" max="2" width="52.140625" style="57" customWidth="1"/>
    <col min="3" max="3" width="12.28125" style="57" customWidth="1"/>
    <col min="4" max="4" width="14.8515625" style="57" customWidth="1"/>
    <col min="5" max="5" width="12.57421875" style="57" customWidth="1"/>
    <col min="6" max="6" width="15.00390625" style="57" customWidth="1"/>
    <col min="7" max="7" width="14.57421875" style="57" customWidth="1"/>
    <col min="8" max="9" width="11.57421875" style="57" hidden="1" customWidth="1" outlineLevel="1"/>
    <col min="10" max="10" width="10.00390625" style="57" bestFit="1" customWidth="1" collapsed="1"/>
    <col min="11" max="11" width="15.8515625" style="57" customWidth="1"/>
    <col min="12" max="16384" width="9.140625" style="57" customWidth="1"/>
  </cols>
  <sheetData>
    <row r="1" spans="1:9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</row>
    <row r="3" spans="1:9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</row>
    <row r="7" spans="1:8" s="59" customFormat="1" ht="16.5" customHeight="1">
      <c r="A7" s="59" t="s">
        <v>2</v>
      </c>
      <c r="F7" s="60" t="s">
        <v>160</v>
      </c>
      <c r="H7" s="60"/>
    </row>
    <row r="8" spans="1:8" s="59" customFormat="1" ht="12.75">
      <c r="A8" s="59" t="s">
        <v>3</v>
      </c>
      <c r="F8" s="305" t="s">
        <v>161</v>
      </c>
      <c r="H8" s="60"/>
    </row>
    <row r="9" spans="1:9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</row>
    <row r="10" spans="1:9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</row>
    <row r="11" spans="1:9" s="59" customFormat="1" ht="15.75" customHeight="1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'[1]Дорожная 11 корп2'!$G$35</f>
        <v>162709.38820000002</v>
      </c>
      <c r="H13" s="62"/>
      <c r="I13" s="62"/>
    </row>
    <row r="14" s="59" customFormat="1" ht="6.75" customHeight="1"/>
    <row r="15" spans="1:7" s="74" customFormat="1" ht="52.5" customHeight="1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1" s="59" customFormat="1" ht="14.25">
      <c r="A16" s="75" t="s">
        <v>14</v>
      </c>
      <c r="B16" s="41" t="s">
        <v>15</v>
      </c>
      <c r="C16" s="46">
        <f>C17+C18+C19+C20</f>
        <v>9.34</v>
      </c>
      <c r="D16" s="76">
        <v>323113.68</v>
      </c>
      <c r="E16" s="76">
        <v>321471.05</v>
      </c>
      <c r="F16" s="76">
        <f aca="true" t="shared" si="0" ref="F16:F22">D16</f>
        <v>323113.68</v>
      </c>
      <c r="G16" s="77">
        <f>D16-E16</f>
        <v>1642.6300000000047</v>
      </c>
      <c r="H16" s="78">
        <f aca="true" t="shared" si="1" ref="H16:H21">C16</f>
        <v>9.34</v>
      </c>
      <c r="J16" s="78"/>
      <c r="K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119697.35897216275</v>
      </c>
      <c r="E17" s="83">
        <f>E16*I17</f>
        <v>119088.8472162741</v>
      </c>
      <c r="F17" s="83">
        <f t="shared" si="0"/>
        <v>119697.35897216275</v>
      </c>
      <c r="G17" s="84">
        <f>D17-E17</f>
        <v>608.5117558886559</v>
      </c>
      <c r="H17" s="78">
        <f t="shared" si="1"/>
        <v>3.46</v>
      </c>
      <c r="I17" s="59">
        <f>H17/H16</f>
        <v>0.37044967880085655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58464.89498929336</v>
      </c>
      <c r="E18" s="83">
        <f>E16*I18</f>
        <v>58167.67392933619</v>
      </c>
      <c r="F18" s="83">
        <f t="shared" si="0"/>
        <v>58464.89498929336</v>
      </c>
      <c r="G18" s="84">
        <f>D18-E18</f>
        <v>297.2210599571699</v>
      </c>
      <c r="H18" s="78">
        <f t="shared" si="1"/>
        <v>1.69</v>
      </c>
      <c r="I18" s="59">
        <f>H18/H16</f>
        <v>0.1809421841541756</v>
      </c>
    </row>
    <row r="19" spans="1:9" s="59" customFormat="1" ht="15">
      <c r="A19" s="81" t="s">
        <v>20</v>
      </c>
      <c r="B19" s="34" t="s">
        <v>21</v>
      </c>
      <c r="C19" s="85">
        <v>1.15</v>
      </c>
      <c r="D19" s="83">
        <f>D16*I19</f>
        <v>39783.80428265524</v>
      </c>
      <c r="E19" s="83">
        <f>E16*I19</f>
        <v>39581.55326552462</v>
      </c>
      <c r="F19" s="83">
        <f t="shared" si="0"/>
        <v>39783.80428265524</v>
      </c>
      <c r="G19" s="84">
        <f>D19-E19</f>
        <v>202.2510171306203</v>
      </c>
      <c r="H19" s="78">
        <f t="shared" si="1"/>
        <v>1.15</v>
      </c>
      <c r="I19" s="59">
        <f>H19/H16</f>
        <v>0.12312633832976444</v>
      </c>
    </row>
    <row r="20" spans="1:9" s="59" customFormat="1" ht="15">
      <c r="A20" s="81" t="s">
        <v>22</v>
      </c>
      <c r="B20" s="34" t="s">
        <v>23</v>
      </c>
      <c r="C20" s="85">
        <v>3.04</v>
      </c>
      <c r="D20" s="83">
        <f>D16*I20</f>
        <v>105167.62175588866</v>
      </c>
      <c r="E20" s="83">
        <f>E16*I20</f>
        <v>104632.9755888651</v>
      </c>
      <c r="F20" s="83">
        <f t="shared" si="0"/>
        <v>105167.62175588866</v>
      </c>
      <c r="G20" s="84">
        <f>D20-E20</f>
        <v>534.6461670235585</v>
      </c>
      <c r="H20" s="78">
        <f t="shared" si="1"/>
        <v>3.04</v>
      </c>
      <c r="I20" s="59">
        <f>H20/H16</f>
        <v>0.32548179871520344</v>
      </c>
    </row>
    <row r="21" spans="1:8" s="59" customFormat="1" ht="15">
      <c r="A21" s="81" t="s">
        <v>24</v>
      </c>
      <c r="B21" s="34" t="s">
        <v>183</v>
      </c>
      <c r="C21" s="97">
        <v>2.51</v>
      </c>
      <c r="D21" s="76">
        <v>86752.08</v>
      </c>
      <c r="E21" s="76">
        <v>86392.15</v>
      </c>
      <c r="F21" s="76">
        <f t="shared" si="0"/>
        <v>86752.08</v>
      </c>
      <c r="G21" s="77">
        <f aca="true" t="shared" si="2" ref="G21:G31">D21-E21</f>
        <v>359.93000000000757</v>
      </c>
      <c r="H21" s="78">
        <f t="shared" si="1"/>
        <v>2.51</v>
      </c>
    </row>
    <row r="22" spans="1:7" s="89" customFormat="1" ht="14.25">
      <c r="A22" s="86" t="s">
        <v>25</v>
      </c>
      <c r="B22" s="86" t="s">
        <v>26</v>
      </c>
      <c r="C22" s="46">
        <v>3.86</v>
      </c>
      <c r="D22" s="87">
        <v>133410.72</v>
      </c>
      <c r="E22" s="87">
        <v>132856.14</v>
      </c>
      <c r="F22" s="87">
        <f t="shared" si="0"/>
        <v>133410.72</v>
      </c>
      <c r="G22" s="77">
        <f t="shared" si="2"/>
        <v>554.5799999999872</v>
      </c>
    </row>
    <row r="23" spans="1:7" s="89" customFormat="1" ht="14.25">
      <c r="A23" s="86" t="s">
        <v>27</v>
      </c>
      <c r="B23" s="86" t="s">
        <v>28</v>
      </c>
      <c r="C23" s="46"/>
      <c r="D23" s="87">
        <v>0</v>
      </c>
      <c r="E23" s="87">
        <v>0</v>
      </c>
      <c r="F23" s="87">
        <f>D23</f>
        <v>0</v>
      </c>
      <c r="G23" s="77">
        <f t="shared" si="2"/>
        <v>0</v>
      </c>
    </row>
    <row r="24" spans="1:7" s="89" customFormat="1" ht="14.25">
      <c r="A24" s="86" t="s">
        <v>29</v>
      </c>
      <c r="B24" s="86" t="s">
        <v>163</v>
      </c>
      <c r="C24" s="46">
        <v>12.54</v>
      </c>
      <c r="D24" s="90">
        <v>0</v>
      </c>
      <c r="E24" s="90">
        <v>0</v>
      </c>
      <c r="F24" s="90">
        <f>D24</f>
        <v>0</v>
      </c>
      <c r="G24" s="77">
        <f t="shared" si="2"/>
        <v>0</v>
      </c>
    </row>
    <row r="25" spans="1:7" s="89" customFormat="1" ht="14.25">
      <c r="A25" s="86" t="s">
        <v>31</v>
      </c>
      <c r="B25" s="86" t="s">
        <v>116</v>
      </c>
      <c r="C25" s="95">
        <v>1.66</v>
      </c>
      <c r="D25" s="87">
        <v>57373.44</v>
      </c>
      <c r="E25" s="87">
        <v>57135.02</v>
      </c>
      <c r="F25" s="87">
        <f>F40</f>
        <v>571.3502</v>
      </c>
      <c r="G25" s="77">
        <f t="shared" si="2"/>
        <v>238.42000000000553</v>
      </c>
    </row>
    <row r="26" spans="1:7" ht="14.25">
      <c r="A26" s="41" t="s">
        <v>33</v>
      </c>
      <c r="B26" s="41" t="s">
        <v>34</v>
      </c>
      <c r="C26" s="97">
        <v>0</v>
      </c>
      <c r="D26" s="77">
        <v>0</v>
      </c>
      <c r="E26" s="77">
        <v>0</v>
      </c>
      <c r="F26" s="87">
        <v>0</v>
      </c>
      <c r="G26" s="77">
        <f t="shared" si="2"/>
        <v>0</v>
      </c>
    </row>
    <row r="27" spans="1:7" ht="14.25">
      <c r="A27" s="41" t="s">
        <v>35</v>
      </c>
      <c r="B27" s="41" t="s">
        <v>36</v>
      </c>
      <c r="C27" s="97">
        <v>0</v>
      </c>
      <c r="D27" s="77">
        <f>SUM(D28:D31)</f>
        <v>374732.10000000003</v>
      </c>
      <c r="E27" s="77">
        <f>SUM(E28:E31)</f>
        <v>376794.99000000005</v>
      </c>
      <c r="F27" s="77">
        <f>SUM(F28:F31)</f>
        <v>374732.10000000003</v>
      </c>
      <c r="G27" s="77">
        <f t="shared" si="2"/>
        <v>-2062.890000000014</v>
      </c>
    </row>
    <row r="28" spans="1:7" ht="15">
      <c r="A28" s="34" t="s">
        <v>37</v>
      </c>
      <c r="B28" s="34" t="s">
        <v>167</v>
      </c>
      <c r="C28" s="289" t="s">
        <v>406</v>
      </c>
      <c r="D28" s="84">
        <v>57534.65</v>
      </c>
      <c r="E28" s="84">
        <v>56991.71</v>
      </c>
      <c r="F28" s="84">
        <f>D28</f>
        <v>57534.65</v>
      </c>
      <c r="G28" s="84">
        <f t="shared" si="2"/>
        <v>542.9400000000023</v>
      </c>
    </row>
    <row r="29" spans="1:7" ht="15">
      <c r="A29" s="34" t="s">
        <v>39</v>
      </c>
      <c r="B29" s="34" t="s">
        <v>138</v>
      </c>
      <c r="C29" s="289" t="s">
        <v>409</v>
      </c>
      <c r="D29" s="84">
        <v>317197.45</v>
      </c>
      <c r="E29" s="84">
        <v>319803.28</v>
      </c>
      <c r="F29" s="84">
        <f>D29</f>
        <v>317197.45</v>
      </c>
      <c r="G29" s="84">
        <f t="shared" si="2"/>
        <v>-2605.8300000000163</v>
      </c>
    </row>
    <row r="30" spans="1:7" ht="15">
      <c r="A30" s="34" t="s">
        <v>42</v>
      </c>
      <c r="B30" s="34" t="s">
        <v>421</v>
      </c>
      <c r="C30" s="144">
        <v>0</v>
      </c>
      <c r="D30" s="84">
        <v>0</v>
      </c>
      <c r="E30" s="84">
        <v>0</v>
      </c>
      <c r="F30" s="84">
        <f>D30</f>
        <v>0</v>
      </c>
      <c r="G30" s="84">
        <f t="shared" si="2"/>
        <v>0</v>
      </c>
    </row>
    <row r="31" spans="1:7" ht="15">
      <c r="A31" s="34" t="s">
        <v>41</v>
      </c>
      <c r="B31" s="34" t="s">
        <v>43</v>
      </c>
      <c r="C31" s="99">
        <v>0</v>
      </c>
      <c r="D31" s="84">
        <v>0</v>
      </c>
      <c r="E31" s="84">
        <v>0</v>
      </c>
      <c r="F31" s="84">
        <f>D31</f>
        <v>0</v>
      </c>
      <c r="G31" s="84">
        <f t="shared" si="2"/>
        <v>0</v>
      </c>
    </row>
    <row r="32" spans="1:9" s="102" customFormat="1" ht="15.75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106716.48</v>
      </c>
      <c r="E33" s="66"/>
      <c r="F33" s="66"/>
      <c r="G33" s="66"/>
      <c r="H33" s="62"/>
      <c r="I33" s="62"/>
    </row>
    <row r="34" spans="1:9" s="67" customFormat="1" ht="15.75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G13+E25-F25</f>
        <v>219273.05800000002</v>
      </c>
      <c r="H35" s="62"/>
      <c r="I35" s="62"/>
    </row>
    <row r="36" spans="1:9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</row>
    <row r="37" spans="1:9" ht="26.25" customHeight="1">
      <c r="A37" s="377" t="s">
        <v>182</v>
      </c>
      <c r="B37" s="377"/>
      <c r="C37" s="377"/>
      <c r="D37" s="377"/>
      <c r="E37" s="377"/>
      <c r="F37" s="377"/>
      <c r="G37" s="377"/>
      <c r="H37" s="148"/>
      <c r="I37" s="148"/>
    </row>
    <row r="39" spans="1:7" s="74" customFormat="1" ht="28.5">
      <c r="A39" s="105" t="s">
        <v>11</v>
      </c>
      <c r="B39" s="401" t="s">
        <v>45</v>
      </c>
      <c r="C39" s="420"/>
      <c r="D39" s="105" t="s">
        <v>165</v>
      </c>
      <c r="E39" s="105" t="s">
        <v>164</v>
      </c>
      <c r="F39" s="401" t="s">
        <v>46</v>
      </c>
      <c r="G39" s="420"/>
    </row>
    <row r="40" spans="1:7" s="115" customFormat="1" ht="15">
      <c r="A40" s="109" t="s">
        <v>47</v>
      </c>
      <c r="B40" s="403" t="s">
        <v>111</v>
      </c>
      <c r="C40" s="425"/>
      <c r="D40" s="111"/>
      <c r="E40" s="111"/>
      <c r="F40" s="430">
        <f>SUM(F41:G42)</f>
        <v>571.3502</v>
      </c>
      <c r="G40" s="419"/>
    </row>
    <row r="41" spans="1:7" ht="15">
      <c r="A41" s="34" t="s">
        <v>16</v>
      </c>
      <c r="B41" s="382"/>
      <c r="C41" s="384"/>
      <c r="D41" s="119"/>
      <c r="E41" s="119"/>
      <c r="F41" s="446"/>
      <c r="G41" s="447"/>
    </row>
    <row r="42" spans="1:7" ht="15">
      <c r="A42" s="34" t="s">
        <v>18</v>
      </c>
      <c r="B42" s="440" t="s">
        <v>191</v>
      </c>
      <c r="C42" s="441"/>
      <c r="D42" s="124"/>
      <c r="E42" s="124"/>
      <c r="F42" s="429">
        <f>E25*1%</f>
        <v>571.3502</v>
      </c>
      <c r="G42" s="429"/>
    </row>
    <row r="43" spans="1:7" ht="15">
      <c r="A43" s="169"/>
      <c r="B43" s="93"/>
      <c r="C43" s="93"/>
      <c r="D43" s="263"/>
      <c r="E43" s="263"/>
      <c r="F43" s="181"/>
      <c r="G43" s="181"/>
    </row>
    <row r="44" spans="1:7" ht="15">
      <c r="A44" s="67" t="s">
        <v>55</v>
      </c>
      <c r="B44" s="67"/>
      <c r="C44" s="126" t="s">
        <v>49</v>
      </c>
      <c r="D44" s="67"/>
      <c r="E44" s="67"/>
      <c r="F44" s="67" t="s">
        <v>90</v>
      </c>
      <c r="G44" s="67"/>
    </row>
    <row r="45" spans="1:7" ht="15">
      <c r="A45" s="67"/>
      <c r="B45" s="67"/>
      <c r="C45" s="126"/>
      <c r="D45" s="67"/>
      <c r="E45" s="67"/>
      <c r="F45" s="127" t="s">
        <v>438</v>
      </c>
      <c r="G45" s="67"/>
    </row>
    <row r="46" spans="1:7" ht="15">
      <c r="A46" s="67" t="s">
        <v>50</v>
      </c>
      <c r="B46" s="67"/>
      <c r="C46" s="126"/>
      <c r="D46" s="67"/>
      <c r="E46" s="67"/>
      <c r="F46" s="67"/>
      <c r="G46" s="67"/>
    </row>
    <row r="47" spans="1:7" ht="15">
      <c r="A47" s="67"/>
      <c r="B47" s="67"/>
      <c r="C47" s="128" t="s">
        <v>51</v>
      </c>
      <c r="D47" s="67"/>
      <c r="E47" s="129"/>
      <c r="F47" s="129"/>
      <c r="G47" s="129"/>
    </row>
  </sheetData>
  <sheetProtection/>
  <mergeCells count="18">
    <mergeCell ref="B40:C40"/>
    <mergeCell ref="F40:G40"/>
    <mergeCell ref="F39:G39"/>
    <mergeCell ref="A1:I1"/>
    <mergeCell ref="A2:I2"/>
    <mergeCell ref="A3:I3"/>
    <mergeCell ref="A5:I5"/>
    <mergeCell ref="A9:I9"/>
    <mergeCell ref="B42:C42"/>
    <mergeCell ref="F42:G42"/>
    <mergeCell ref="B41:C41"/>
    <mergeCell ref="F41:G41"/>
    <mergeCell ref="A10:I10"/>
    <mergeCell ref="A11:I11"/>
    <mergeCell ref="A33:C33"/>
    <mergeCell ref="A37:G37"/>
    <mergeCell ref="B39:C39"/>
    <mergeCell ref="A32:F3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7030A0"/>
  </sheetPr>
  <dimension ref="A1:J50"/>
  <sheetViews>
    <sheetView zoomScalePageLayoutView="0" workbookViewId="0" topLeftCell="A37">
      <selection activeCell="A46" sqref="A46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5" width="13.28125" style="57" customWidth="1"/>
    <col min="6" max="6" width="12.8515625" style="57" customWidth="1"/>
    <col min="7" max="7" width="14.57421875" style="57" customWidth="1"/>
    <col min="8" max="9" width="11.57421875" style="57" hidden="1" customWidth="1" outlineLevel="1"/>
    <col min="10" max="10" width="15.8515625" style="57" customWidth="1" collapsed="1"/>
    <col min="11" max="16384" width="9.140625" style="57" customWidth="1"/>
  </cols>
  <sheetData>
    <row r="1" spans="1:9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</row>
    <row r="2" spans="1:9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</row>
    <row r="3" spans="1:9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</row>
    <row r="4" spans="1:9" ht="9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</row>
    <row r="7" spans="1:8" s="59" customFormat="1" ht="16.5" customHeight="1">
      <c r="A7" s="59" t="s">
        <v>2</v>
      </c>
      <c r="F7" s="60" t="s">
        <v>231</v>
      </c>
      <c r="H7" s="60"/>
    </row>
    <row r="8" spans="1:8" s="59" customFormat="1" ht="12.75">
      <c r="A8" s="59" t="s">
        <v>3</v>
      </c>
      <c r="F8" s="305" t="s">
        <v>275</v>
      </c>
      <c r="H8" s="60"/>
    </row>
    <row r="9" spans="1:9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</row>
    <row r="10" spans="1:9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</row>
    <row r="11" spans="1:9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331</v>
      </c>
      <c r="B13" s="64"/>
      <c r="C13" s="64"/>
      <c r="D13" s="69"/>
      <c r="E13" s="70"/>
      <c r="F13" s="70"/>
      <c r="G13" s="65">
        <f>'[1]Моторная 30А'!$G$34</f>
        <v>9479.01079999999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0" s="59" customFormat="1" ht="14.25">
      <c r="A16" s="75" t="s">
        <v>14</v>
      </c>
      <c r="B16" s="41" t="s">
        <v>15</v>
      </c>
      <c r="C16" s="200">
        <f>C17+C18+C19+C20</f>
        <v>9.879999999999999</v>
      </c>
      <c r="D16" s="76">
        <v>346059.51</v>
      </c>
      <c r="E16" s="76">
        <v>310735.49</v>
      </c>
      <c r="F16" s="76">
        <f>D16</f>
        <v>346059.51</v>
      </c>
      <c r="G16" s="77">
        <f>D16-E16</f>
        <v>35324.02000000002</v>
      </c>
      <c r="H16" s="78">
        <f>C16</f>
        <v>9.879999999999999</v>
      </c>
      <c r="I16" s="79"/>
      <c r="J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121190.88103238867</v>
      </c>
      <c r="E17" s="83">
        <f>E16*I17</f>
        <v>108820.32342105264</v>
      </c>
      <c r="F17" s="83">
        <f>D17</f>
        <v>121190.88103238867</v>
      </c>
      <c r="G17" s="84">
        <f>D17-E17</f>
        <v>12370.55761133603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59194.38986842106</v>
      </c>
      <c r="E18" s="83">
        <f>E16*I18</f>
        <v>53152.12328947368</v>
      </c>
      <c r="F18" s="83">
        <f>D18</f>
        <v>59194.38986842106</v>
      </c>
      <c r="G18" s="84">
        <f>D18-E18</f>
        <v>6042.266578947376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59194.38986842106</v>
      </c>
      <c r="E19" s="83">
        <f>E16*I19</f>
        <v>53152.12328947368</v>
      </c>
      <c r="F19" s="83">
        <f>D19</f>
        <v>59194.38986842106</v>
      </c>
      <c r="G19" s="84">
        <f>D19-E19</f>
        <v>6042.266578947376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106479.84923076924</v>
      </c>
      <c r="E20" s="83">
        <f>E16*I20</f>
        <v>95610.92</v>
      </c>
      <c r="F20" s="83">
        <f>D20</f>
        <v>106479.84923076924</v>
      </c>
      <c r="G20" s="84">
        <f>D20-E20</f>
        <v>10868.929230769238</v>
      </c>
      <c r="H20" s="78">
        <f>C20</f>
        <v>3.04</v>
      </c>
      <c r="I20" s="59">
        <f>H20/H16</f>
        <v>0.3076923076923077</v>
      </c>
    </row>
    <row r="21" spans="1:9" s="89" customFormat="1" ht="14.25">
      <c r="A21" s="86" t="s">
        <v>25</v>
      </c>
      <c r="B21" s="86" t="s">
        <v>26</v>
      </c>
      <c r="C21" s="8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</row>
    <row r="22" spans="1:9" s="89" customFormat="1" ht="14.25">
      <c r="A22" s="86" t="s">
        <v>27</v>
      </c>
      <c r="B22" s="86" t="s">
        <v>28</v>
      </c>
      <c r="C22" s="8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</row>
    <row r="23" spans="1:9" s="89" customFormat="1" ht="14.25">
      <c r="A23" s="86" t="s">
        <v>29</v>
      </c>
      <c r="B23" s="86" t="s">
        <v>30</v>
      </c>
      <c r="C23" s="87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</row>
    <row r="24" spans="1:9" s="89" customFormat="1" ht="14.25">
      <c r="A24" s="86" t="s">
        <v>31</v>
      </c>
      <c r="B24" s="86" t="s">
        <v>116</v>
      </c>
      <c r="C24" s="264">
        <v>1.86</v>
      </c>
      <c r="D24" s="87">
        <v>59658.96</v>
      </c>
      <c r="E24" s="87">
        <v>58498.91</v>
      </c>
      <c r="F24" s="87">
        <f>F39</f>
        <v>96376.06910000001</v>
      </c>
      <c r="G24" s="77">
        <f t="shared" si="0"/>
        <v>1160.0499999999956</v>
      </c>
      <c r="H24" s="88"/>
      <c r="I24" s="88"/>
    </row>
    <row r="25" spans="1:9" ht="14.25">
      <c r="A25" s="41" t="s">
        <v>33</v>
      </c>
      <c r="B25" s="41" t="s">
        <v>163</v>
      </c>
      <c r="C25" s="77" t="s">
        <v>334</v>
      </c>
      <c r="D25" s="77"/>
      <c r="E25" s="77"/>
      <c r="F25" s="87">
        <f>D25</f>
        <v>0</v>
      </c>
      <c r="G25" s="77">
        <f t="shared" si="0"/>
        <v>0</v>
      </c>
      <c r="H25" s="98"/>
      <c r="I25" s="98"/>
    </row>
    <row r="26" spans="1:9" ht="14.25">
      <c r="A26" s="41" t="s">
        <v>35</v>
      </c>
      <c r="B26" s="41" t="s">
        <v>36</v>
      </c>
      <c r="C26" s="77"/>
      <c r="D26" s="77">
        <f>SUM(D27:D30)</f>
        <v>1355424.51</v>
      </c>
      <c r="E26" s="77">
        <f>SUM(E27:E30)</f>
        <v>1316901.85</v>
      </c>
      <c r="F26" s="77">
        <f>SUM(F27:F30)</f>
        <v>1355424.51</v>
      </c>
      <c r="G26" s="77">
        <f t="shared" si="0"/>
        <v>38522.659999999916</v>
      </c>
      <c r="H26" s="98"/>
      <c r="I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28825.57</v>
      </c>
      <c r="E27" s="84">
        <v>28222.28</v>
      </c>
      <c r="F27" s="84">
        <f>D27</f>
        <v>28825.57</v>
      </c>
      <c r="G27" s="84">
        <f t="shared" si="0"/>
        <v>603.2900000000009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315936.49</v>
      </c>
      <c r="E28" s="84">
        <v>302055.4</v>
      </c>
      <c r="F28" s="84">
        <f>D28</f>
        <v>315936.49</v>
      </c>
      <c r="G28" s="84">
        <f t="shared" si="0"/>
        <v>13881.089999999967</v>
      </c>
    </row>
    <row r="29" spans="1:7" ht="15">
      <c r="A29" s="34" t="s">
        <v>42</v>
      </c>
      <c r="B29" s="34" t="s">
        <v>421</v>
      </c>
      <c r="C29" s="290"/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1010662.45</v>
      </c>
      <c r="E30" s="84">
        <v>986624.17</v>
      </c>
      <c r="F30" s="84">
        <f>D30</f>
        <v>1010662.45</v>
      </c>
      <c r="G30" s="84">
        <f t="shared" si="0"/>
        <v>24038.27999999991</v>
      </c>
    </row>
    <row r="31" spans="1:9" s="102" customFormat="1" ht="18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536001.37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-28398.148300000015</v>
      </c>
      <c r="H34" s="62"/>
      <c r="I34" s="62"/>
    </row>
    <row r="35" spans="1:9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</row>
    <row r="36" spans="1:9" s="102" customFormat="1" ht="27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</row>
    <row r="38" spans="1:7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</row>
    <row r="39" spans="1:7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SUM(F40:G45)</f>
        <v>96376.06910000001</v>
      </c>
      <c r="G39" s="419"/>
    </row>
    <row r="40" spans="1:7" s="115" customFormat="1" ht="15">
      <c r="A40" s="34" t="s">
        <v>16</v>
      </c>
      <c r="B40" s="413" t="s">
        <v>603</v>
      </c>
      <c r="C40" s="423"/>
      <c r="D40" s="119"/>
      <c r="E40" s="122"/>
      <c r="F40" s="451">
        <v>14291.08</v>
      </c>
      <c r="G40" s="452"/>
    </row>
    <row r="41" spans="1:7" s="115" customFormat="1" ht="15">
      <c r="A41" s="34" t="s">
        <v>20</v>
      </c>
      <c r="B41" s="382" t="s">
        <v>722</v>
      </c>
      <c r="C41" s="432"/>
      <c r="D41" s="119"/>
      <c r="E41" s="122"/>
      <c r="F41" s="446">
        <v>18000</v>
      </c>
      <c r="G41" s="447"/>
    </row>
    <row r="42" spans="1:7" s="59" customFormat="1" ht="15">
      <c r="A42" s="34" t="s">
        <v>22</v>
      </c>
      <c r="B42" s="382" t="s">
        <v>729</v>
      </c>
      <c r="C42" s="432"/>
      <c r="D42" s="119"/>
      <c r="E42" s="122"/>
      <c r="F42" s="446">
        <v>24500</v>
      </c>
      <c r="G42" s="447"/>
    </row>
    <row r="43" spans="1:7" s="59" customFormat="1" ht="15">
      <c r="A43" s="34" t="s">
        <v>24</v>
      </c>
      <c r="B43" s="382" t="s">
        <v>752</v>
      </c>
      <c r="C43" s="432"/>
      <c r="D43" s="119"/>
      <c r="E43" s="122"/>
      <c r="F43" s="446">
        <v>39000</v>
      </c>
      <c r="G43" s="447"/>
    </row>
    <row r="44" spans="1:7" s="59" customFormat="1" ht="15">
      <c r="A44" s="34" t="s">
        <v>103</v>
      </c>
      <c r="B44" s="382"/>
      <c r="C44" s="432"/>
      <c r="D44" s="119"/>
      <c r="E44" s="122"/>
      <c r="F44" s="446"/>
      <c r="G44" s="447"/>
    </row>
    <row r="45" spans="1:7" ht="15">
      <c r="A45" s="34" t="s">
        <v>104</v>
      </c>
      <c r="B45" s="440" t="s">
        <v>191</v>
      </c>
      <c r="C45" s="441"/>
      <c r="D45" s="124"/>
      <c r="E45" s="124"/>
      <c r="F45" s="429">
        <f>E24*1%</f>
        <v>584.9891</v>
      </c>
      <c r="G45" s="429"/>
    </row>
    <row r="46" spans="1:7" ht="12.75">
      <c r="A46" s="59"/>
      <c r="B46" s="59"/>
      <c r="C46" s="59"/>
      <c r="D46" s="59"/>
      <c r="E46" s="59"/>
      <c r="F46" s="59"/>
      <c r="G46" s="59"/>
    </row>
    <row r="47" spans="1:7" ht="15">
      <c r="A47" s="67" t="s">
        <v>55</v>
      </c>
      <c r="B47" s="67"/>
      <c r="C47" s="126" t="s">
        <v>49</v>
      </c>
      <c r="D47" s="67"/>
      <c r="E47" s="67"/>
      <c r="F47" s="67" t="s">
        <v>90</v>
      </c>
      <c r="G47" s="67"/>
    </row>
    <row r="48" spans="1:7" ht="15">
      <c r="A48" s="67"/>
      <c r="B48" s="67"/>
      <c r="C48" s="126"/>
      <c r="D48" s="67"/>
      <c r="E48" s="67"/>
      <c r="F48" s="127" t="s">
        <v>438</v>
      </c>
      <c r="G48" s="67"/>
    </row>
    <row r="49" spans="1:7" ht="15">
      <c r="A49" s="67" t="s">
        <v>50</v>
      </c>
      <c r="B49" s="67"/>
      <c r="C49" s="126"/>
      <c r="D49" s="67"/>
      <c r="E49" s="67"/>
      <c r="F49" s="67"/>
      <c r="G49" s="67"/>
    </row>
    <row r="50" spans="1:7" ht="15">
      <c r="A50" s="67"/>
      <c r="B50" s="67"/>
      <c r="C50" s="128" t="s">
        <v>51</v>
      </c>
      <c r="D50" s="67"/>
      <c r="E50" s="129"/>
      <c r="F50" s="129"/>
      <c r="G50" s="129"/>
    </row>
  </sheetData>
  <sheetProtection/>
  <mergeCells count="26">
    <mergeCell ref="B43:C43"/>
    <mergeCell ref="B44:C44"/>
    <mergeCell ref="F43:G43"/>
    <mergeCell ref="F44:G44"/>
    <mergeCell ref="A10:I10"/>
    <mergeCell ref="A1:I1"/>
    <mergeCell ref="A2:I2"/>
    <mergeCell ref="A3:I3"/>
    <mergeCell ref="A5:I5"/>
    <mergeCell ref="A9:I9"/>
    <mergeCell ref="A11:I11"/>
    <mergeCell ref="A32:C32"/>
    <mergeCell ref="A36:I36"/>
    <mergeCell ref="B38:C38"/>
    <mergeCell ref="F38:G38"/>
    <mergeCell ref="A31:F31"/>
    <mergeCell ref="B45:C45"/>
    <mergeCell ref="F45:G45"/>
    <mergeCell ref="B42:C42"/>
    <mergeCell ref="F42:G42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zoomScalePageLayoutView="0" workbookViewId="0" topLeftCell="A40">
      <selection activeCell="A46" sqref="A46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185</v>
      </c>
      <c r="H7" s="60"/>
    </row>
    <row r="8" spans="1:8" s="59" customFormat="1" ht="12.75">
      <c r="A8" s="59" t="s">
        <v>3</v>
      </c>
      <c r="F8" s="305" t="s">
        <v>274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71">
        <f>'[1]Грабцевское шоссе 160'!$G$34</f>
        <v>-309548.10880000005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1314609.31</v>
      </c>
      <c r="E16" s="76">
        <v>1282803.39</v>
      </c>
      <c r="F16" s="76">
        <f aca="true" t="shared" si="0" ref="F16:F23">D16</f>
        <v>1314609.31</v>
      </c>
      <c r="G16" s="77">
        <f>D16-E16</f>
        <v>31805.92000000016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439898.2797485494</v>
      </c>
      <c r="E17" s="83">
        <f>E16*I17</f>
        <v>429255.2929787234</v>
      </c>
      <c r="F17" s="83">
        <f t="shared" si="0"/>
        <v>439898.2797485494</v>
      </c>
      <c r="G17" s="84">
        <f>D17-E17</f>
        <v>10642.986769825977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214863.6106286267</v>
      </c>
      <c r="E18" s="83">
        <f>E16*I18</f>
        <v>209665.15755319144</v>
      </c>
      <c r="F18" s="83">
        <f t="shared" si="0"/>
        <v>214863.6106286267</v>
      </c>
      <c r="G18" s="84">
        <f>D18-E18</f>
        <v>5198.453075435245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2">
        <v>2.15</v>
      </c>
      <c r="D19" s="83">
        <f>D16*I19</f>
        <v>273347.1969535783</v>
      </c>
      <c r="E19" s="83">
        <f>E16*I19</f>
        <v>266733.7803191489</v>
      </c>
      <c r="F19" s="83">
        <f t="shared" si="0"/>
        <v>273347.1969535783</v>
      </c>
      <c r="G19" s="84">
        <f>D19-E19</f>
        <v>6613.416634429421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386500.2226692457</v>
      </c>
      <c r="E20" s="83">
        <f>E16*I20</f>
        <v>377149.15914893616</v>
      </c>
      <c r="F20" s="83">
        <f t="shared" si="0"/>
        <v>386500.2226692457</v>
      </c>
      <c r="G20" s="84">
        <f>D20-E20</f>
        <v>9351.063520309515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3.86</v>
      </c>
      <c r="D21" s="87">
        <v>390750.72</v>
      </c>
      <c r="E21" s="87">
        <v>385543.84</v>
      </c>
      <c r="F21" s="87">
        <f t="shared" si="0"/>
        <v>390750.72</v>
      </c>
      <c r="G21" s="77">
        <f aca="true" t="shared" si="1" ref="G21:G30">D21-E21</f>
        <v>5206.879999999946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279</v>
      </c>
      <c r="C22" s="46">
        <v>0</v>
      </c>
      <c r="D22" s="87">
        <v>-21989.25</v>
      </c>
      <c r="E22" s="87">
        <v>0</v>
      </c>
      <c r="F22" s="87">
        <f t="shared" si="0"/>
        <v>-21989.25</v>
      </c>
      <c r="G22" s="77">
        <f t="shared" si="1"/>
        <v>-21989.25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69.8</v>
      </c>
      <c r="F23" s="87">
        <f t="shared" si="0"/>
        <v>0</v>
      </c>
      <c r="G23" s="77">
        <f t="shared" si="1"/>
        <v>-69.8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208535.28</v>
      </c>
      <c r="E24" s="87">
        <v>205783.24</v>
      </c>
      <c r="F24" s="87">
        <f>F39</f>
        <v>215260.06240000002</v>
      </c>
      <c r="G24" s="77">
        <f t="shared" si="1"/>
        <v>2752.040000000008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 t="s">
        <v>334</v>
      </c>
      <c r="D25" s="77"/>
      <c r="E25" s="77"/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>
        <v>0</v>
      </c>
      <c r="D26" s="77">
        <f>SUM(D27:D30)</f>
        <v>4037339.33</v>
      </c>
      <c r="E26" s="77">
        <f>SUM(E27:E30)</f>
        <v>3986763.99</v>
      </c>
      <c r="F26" s="77">
        <f>SUM(F27:F30)</f>
        <v>4037339.33</v>
      </c>
      <c r="G26" s="77">
        <f t="shared" si="1"/>
        <v>50575.33999999985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190018.56</v>
      </c>
      <c r="E27" s="84">
        <v>187459.62</v>
      </c>
      <c r="F27" s="84">
        <f>D27</f>
        <v>190018.56</v>
      </c>
      <c r="G27" s="84">
        <f t="shared" si="1"/>
        <v>2558.9400000000023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812723.03</v>
      </c>
      <c r="E28" s="84">
        <v>814022.45</v>
      </c>
      <c r="F28" s="84">
        <f>D28</f>
        <v>812723.03</v>
      </c>
      <c r="G28" s="84">
        <f t="shared" si="1"/>
        <v>-1299.4199999999255</v>
      </c>
    </row>
    <row r="29" spans="1:7" ht="15">
      <c r="A29" s="34" t="s">
        <v>42</v>
      </c>
      <c r="B29" s="34" t="s">
        <v>421</v>
      </c>
      <c r="C29" s="290" t="s">
        <v>480</v>
      </c>
      <c r="D29" s="84">
        <v>1101754.15</v>
      </c>
      <c r="E29" s="84">
        <v>1076809.62</v>
      </c>
      <c r="F29" s="84">
        <f>D29</f>
        <v>1101754.15</v>
      </c>
      <c r="G29" s="84">
        <f t="shared" si="1"/>
        <v>24944.529999999795</v>
      </c>
    </row>
    <row r="30" spans="1:7" ht="15">
      <c r="A30" s="34" t="s">
        <v>41</v>
      </c>
      <c r="B30" s="34" t="s">
        <v>43</v>
      </c>
      <c r="C30" s="289" t="s">
        <v>424</v>
      </c>
      <c r="D30" s="84">
        <v>1932843.59</v>
      </c>
      <c r="E30" s="84">
        <v>1908472.3</v>
      </c>
      <c r="F30" s="84">
        <f>D30</f>
        <v>1932843.59</v>
      </c>
      <c r="G30" s="84">
        <f t="shared" si="1"/>
        <v>24371.290000000037</v>
      </c>
    </row>
    <row r="31" spans="1:9" s="102" customFormat="1" ht="15.7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1315702.11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413</v>
      </c>
      <c r="B34" s="64"/>
      <c r="C34" s="64"/>
      <c r="D34" s="69"/>
      <c r="E34" s="70"/>
      <c r="F34" s="70"/>
      <c r="G34" s="71">
        <f>G13+E24-F24</f>
        <v>-319024.9312000001</v>
      </c>
      <c r="H34" s="62"/>
      <c r="I34" s="62"/>
      <c r="K34" s="146"/>
    </row>
    <row r="35" spans="1:11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</row>
    <row r="36" spans="1:11" ht="31.5" customHeight="1">
      <c r="A36" s="377" t="s">
        <v>182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</row>
    <row r="38" spans="1:12" s="74" customFormat="1" ht="37.5" customHeight="1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L38" s="108"/>
    </row>
    <row r="39" spans="1:12" s="115" customFormat="1" ht="15" customHeight="1">
      <c r="A39" s="109" t="s">
        <v>47</v>
      </c>
      <c r="B39" s="403" t="s">
        <v>111</v>
      </c>
      <c r="C39" s="425"/>
      <c r="D39" s="111"/>
      <c r="E39" s="111"/>
      <c r="F39" s="430">
        <f>SUM(F40:G45)</f>
        <v>215260.06240000002</v>
      </c>
      <c r="G39" s="419"/>
      <c r="H39" s="250"/>
      <c r="I39" s="251"/>
      <c r="L39" s="116"/>
    </row>
    <row r="40" spans="1:12" ht="15" customHeight="1">
      <c r="A40" s="34" t="s">
        <v>16</v>
      </c>
      <c r="B40" s="413" t="s">
        <v>601</v>
      </c>
      <c r="C40" s="442"/>
      <c r="D40" s="361"/>
      <c r="E40" s="361"/>
      <c r="F40" s="550">
        <v>50000</v>
      </c>
      <c r="G40" s="551"/>
      <c r="H40" s="252"/>
      <c r="I40" s="253"/>
      <c r="L40" s="120"/>
    </row>
    <row r="41" spans="1:12" ht="15" customHeight="1">
      <c r="A41" s="34" t="s">
        <v>18</v>
      </c>
      <c r="B41" s="413" t="s">
        <v>602</v>
      </c>
      <c r="C41" s="442"/>
      <c r="D41" s="361" t="s">
        <v>236</v>
      </c>
      <c r="E41" s="361">
        <v>0.02</v>
      </c>
      <c r="F41" s="550">
        <v>61202.23</v>
      </c>
      <c r="G41" s="551"/>
      <c r="H41" s="40"/>
      <c r="I41" s="40"/>
      <c r="L41" s="120"/>
    </row>
    <row r="42" spans="1:12" ht="15">
      <c r="A42" s="34" t="s">
        <v>20</v>
      </c>
      <c r="B42" s="382" t="s">
        <v>691</v>
      </c>
      <c r="C42" s="472"/>
      <c r="D42" s="219"/>
      <c r="E42" s="219"/>
      <c r="F42" s="548">
        <v>10000</v>
      </c>
      <c r="G42" s="549"/>
      <c r="H42" s="40"/>
      <c r="I42" s="40"/>
      <c r="L42" s="120"/>
    </row>
    <row r="43" spans="1:12" ht="15">
      <c r="A43" s="34" t="s">
        <v>22</v>
      </c>
      <c r="B43" s="382" t="s">
        <v>717</v>
      </c>
      <c r="C43" s="472"/>
      <c r="D43" s="219"/>
      <c r="E43" s="219"/>
      <c r="F43" s="548">
        <v>92000</v>
      </c>
      <c r="G43" s="549"/>
      <c r="H43" s="40"/>
      <c r="I43" s="40"/>
      <c r="L43" s="120"/>
    </row>
    <row r="44" spans="1:11" s="67" customFormat="1" ht="17.25" customHeight="1">
      <c r="A44" s="256" t="s">
        <v>24</v>
      </c>
      <c r="B44" s="382"/>
      <c r="C44" s="472"/>
      <c r="D44" s="219"/>
      <c r="E44" s="219"/>
      <c r="F44" s="548"/>
      <c r="G44" s="549"/>
      <c r="H44" s="59"/>
      <c r="I44" s="59"/>
      <c r="J44" s="59"/>
      <c r="K44" s="59"/>
    </row>
    <row r="45" spans="1:7" ht="15">
      <c r="A45" s="34" t="s">
        <v>103</v>
      </c>
      <c r="B45" s="440" t="s">
        <v>191</v>
      </c>
      <c r="C45" s="441"/>
      <c r="D45" s="124"/>
      <c r="E45" s="124"/>
      <c r="F45" s="429">
        <f>E24*1%</f>
        <v>2057.8324</v>
      </c>
      <c r="G45" s="429"/>
    </row>
    <row r="46" spans="1:7" ht="12.75">
      <c r="A46" s="59"/>
      <c r="B46" s="59"/>
      <c r="C46" s="59"/>
      <c r="D46" s="59"/>
      <c r="E46" s="59"/>
      <c r="F46" s="59"/>
      <c r="G46" s="59"/>
    </row>
    <row r="47" spans="1:7" ht="15">
      <c r="A47" s="67" t="s">
        <v>55</v>
      </c>
      <c r="B47" s="67"/>
      <c r="C47" s="126" t="s">
        <v>49</v>
      </c>
      <c r="D47" s="67"/>
      <c r="E47" s="67"/>
      <c r="F47" s="67" t="s">
        <v>90</v>
      </c>
      <c r="G47" s="67"/>
    </row>
    <row r="48" spans="1:7" ht="15">
      <c r="A48" s="67"/>
      <c r="B48" s="67"/>
      <c r="C48" s="126"/>
      <c r="D48" s="67"/>
      <c r="E48" s="67"/>
      <c r="F48" s="127" t="s">
        <v>438</v>
      </c>
      <c r="G48" s="67"/>
    </row>
    <row r="49" spans="1:7" ht="15">
      <c r="A49" s="67" t="s">
        <v>50</v>
      </c>
      <c r="B49" s="67"/>
      <c r="C49" s="126"/>
      <c r="D49" s="67"/>
      <c r="E49" s="67"/>
      <c r="F49" s="67"/>
      <c r="G49" s="67"/>
    </row>
    <row r="50" spans="1:7" ht="15">
      <c r="A50" s="67"/>
      <c r="B50" s="67"/>
      <c r="C50" s="128" t="s">
        <v>51</v>
      </c>
      <c r="D50" s="67"/>
      <c r="E50" s="129"/>
      <c r="F50" s="129"/>
      <c r="G50" s="129"/>
    </row>
  </sheetData>
  <sheetProtection/>
  <mergeCells count="26">
    <mergeCell ref="F40:G40"/>
    <mergeCell ref="A11:K11"/>
    <mergeCell ref="A31:F31"/>
    <mergeCell ref="F39:G39"/>
    <mergeCell ref="F41:G41"/>
    <mergeCell ref="F42:G42"/>
    <mergeCell ref="A32:C32"/>
    <mergeCell ref="A36:K36"/>
    <mergeCell ref="B38:C38"/>
    <mergeCell ref="F38:G38"/>
    <mergeCell ref="A10:K10"/>
    <mergeCell ref="A1:K1"/>
    <mergeCell ref="A2:K2"/>
    <mergeCell ref="A3:K3"/>
    <mergeCell ref="A5:K5"/>
    <mergeCell ref="A9:K9"/>
    <mergeCell ref="B45:C45"/>
    <mergeCell ref="F45:G45"/>
    <mergeCell ref="B44:C44"/>
    <mergeCell ref="F43:G43"/>
    <mergeCell ref="F44:G44"/>
    <mergeCell ref="B39:C39"/>
    <mergeCell ref="B40:C40"/>
    <mergeCell ref="B41:C41"/>
    <mergeCell ref="B42:C42"/>
    <mergeCell ref="B43:C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7030A0"/>
  </sheetPr>
  <dimension ref="A1:P46"/>
  <sheetViews>
    <sheetView zoomScalePageLayoutView="0" workbookViewId="0" topLeftCell="A33">
      <selection activeCell="F45" sqref="F45"/>
    </sheetView>
  </sheetViews>
  <sheetFormatPr defaultColWidth="9.140625" defaultRowHeight="15" outlineLevelCol="1"/>
  <cols>
    <col min="1" max="1" width="5.57421875" style="57" customWidth="1"/>
    <col min="2" max="2" width="51.8515625" style="57" customWidth="1"/>
    <col min="3" max="3" width="15.7109375" style="57" customWidth="1"/>
    <col min="4" max="4" width="14.8515625" style="57" customWidth="1"/>
    <col min="5" max="5" width="13.28125" style="57" customWidth="1"/>
    <col min="6" max="6" width="12.85156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hidden="1" customWidth="1" outlineLevel="1"/>
    <col min="12" max="13" width="9.140625" style="57" hidden="1" customWidth="1" outlineLevel="1"/>
    <col min="14" max="14" width="9.140625" style="57" customWidth="1" collapsed="1"/>
    <col min="15" max="15" width="10.00390625" style="57" bestFit="1" customWidth="1"/>
    <col min="16" max="16" width="15.8515625" style="57" customWidth="1"/>
    <col min="17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3" s="59" customFormat="1" ht="16.5" customHeight="1">
      <c r="A7" s="59" t="s">
        <v>2</v>
      </c>
      <c r="F7" s="60" t="s">
        <v>184</v>
      </c>
      <c r="H7" s="60"/>
      <c r="L7" s="61"/>
      <c r="M7" s="59" t="s">
        <v>130</v>
      </c>
    </row>
    <row r="8" spans="1:8" s="59" customFormat="1" ht="12.75">
      <c r="A8" s="59" t="s">
        <v>3</v>
      </c>
      <c r="F8" s="305" t="s">
        <v>358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'[1]Аэропортовская 9'!$G$34</f>
        <v>5322.163100000003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6" s="59" customFormat="1" ht="14.25">
      <c r="A16" s="75" t="s">
        <v>14</v>
      </c>
      <c r="B16" s="41" t="s">
        <v>15</v>
      </c>
      <c r="C16" s="200">
        <f>C17+C18+C19+C20</f>
        <v>9.879999999999999</v>
      </c>
      <c r="D16" s="76">
        <v>106795.08</v>
      </c>
      <c r="E16" s="76">
        <v>102351.19</v>
      </c>
      <c r="F16" s="76">
        <f>D16</f>
        <v>106795.08</v>
      </c>
      <c r="G16" s="77">
        <f>D16-E16</f>
        <v>4443.889999999999</v>
      </c>
      <c r="H16" s="78">
        <f>C16</f>
        <v>9.879999999999999</v>
      </c>
      <c r="I16" s="79"/>
      <c r="J16" s="79"/>
      <c r="K16" s="79"/>
      <c r="O16" s="78"/>
      <c r="P16" s="80"/>
    </row>
    <row r="17" spans="1:9" s="59" customFormat="1" ht="15">
      <c r="A17" s="81" t="s">
        <v>16</v>
      </c>
      <c r="B17" s="34" t="s">
        <v>17</v>
      </c>
      <c r="C17" s="84">
        <v>3.46</v>
      </c>
      <c r="D17" s="83">
        <f>D16*I17</f>
        <v>37399.89643724697</v>
      </c>
      <c r="E17" s="83">
        <f>E16*I17</f>
        <v>35843.63536437247</v>
      </c>
      <c r="F17" s="83">
        <f>D17</f>
        <v>37399.89643724697</v>
      </c>
      <c r="G17" s="84">
        <f>D17-E17</f>
        <v>1556.2610728744985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4">
        <v>1.69</v>
      </c>
      <c r="D18" s="83">
        <f>D16*I18</f>
        <v>18267.57947368421</v>
      </c>
      <c r="E18" s="83">
        <f>E16*I18</f>
        <v>17507.440394736845</v>
      </c>
      <c r="F18" s="83">
        <f>D18</f>
        <v>18267.57947368421</v>
      </c>
      <c r="G18" s="84">
        <f>D18-E18</f>
        <v>760.1390789473662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4">
        <v>1.69</v>
      </c>
      <c r="D19" s="83">
        <f>D16*I19</f>
        <v>18267.57947368421</v>
      </c>
      <c r="E19" s="83">
        <f>E16*I19</f>
        <v>17507.440394736845</v>
      </c>
      <c r="F19" s="83">
        <f>D19</f>
        <v>18267.57947368421</v>
      </c>
      <c r="G19" s="84">
        <f>D19-E19</f>
        <v>760.1390789473662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4">
        <v>3.04</v>
      </c>
      <c r="D20" s="83">
        <f>D16*I20</f>
        <v>32860.02461538462</v>
      </c>
      <c r="E20" s="83">
        <f>E16*I20</f>
        <v>31492.673846153848</v>
      </c>
      <c r="F20" s="83">
        <f>D20</f>
        <v>32860.02461538462</v>
      </c>
      <c r="G20" s="84">
        <f>D20-E20</f>
        <v>1367.3507692307685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87">
        <v>0</v>
      </c>
      <c r="D21" s="87">
        <v>0</v>
      </c>
      <c r="E21" s="87">
        <v>0</v>
      </c>
      <c r="F21" s="87">
        <v>0</v>
      </c>
      <c r="G21" s="77">
        <f aca="true" t="shared" si="0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87">
        <v>0</v>
      </c>
      <c r="D22" s="87">
        <v>0</v>
      </c>
      <c r="E22" s="87">
        <v>0</v>
      </c>
      <c r="F22" s="87">
        <f>D22</f>
        <v>0</v>
      </c>
      <c r="G22" s="77">
        <f t="shared" si="0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87">
        <v>0</v>
      </c>
      <c r="D23" s="87">
        <v>0</v>
      </c>
      <c r="E23" s="87">
        <v>0</v>
      </c>
      <c r="F23" s="87">
        <v>0</v>
      </c>
      <c r="G23" s="77">
        <f t="shared" si="0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264">
        <v>1.86</v>
      </c>
      <c r="D24" s="87">
        <v>20076.84</v>
      </c>
      <c r="E24" s="87">
        <v>19268.54</v>
      </c>
      <c r="F24" s="87">
        <f>F39</f>
        <v>192.68540000000002</v>
      </c>
      <c r="G24" s="77">
        <f t="shared" si="0"/>
        <v>808.2999999999993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77">
        <v>12.54</v>
      </c>
      <c r="D25" s="77">
        <v>0</v>
      </c>
      <c r="E25" s="77">
        <v>0</v>
      </c>
      <c r="F25" s="87">
        <f>D25</f>
        <v>0</v>
      </c>
      <c r="G25" s="77">
        <f t="shared" si="0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77"/>
      <c r="D26" s="77">
        <f>SUM(D27:D30)</f>
        <v>539084.51</v>
      </c>
      <c r="E26" s="77">
        <f>SUM(E27:E30)</f>
        <v>511188.87</v>
      </c>
      <c r="F26" s="77">
        <f>SUM(F27:F30)</f>
        <v>539084.51</v>
      </c>
      <c r="G26" s="77">
        <f t="shared" si="0"/>
        <v>27895.640000000014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1308.51</v>
      </c>
      <c r="E27" s="84">
        <v>1253.43</v>
      </c>
      <c r="F27" s="84">
        <f>D27</f>
        <v>1308.51</v>
      </c>
      <c r="G27" s="84">
        <f t="shared" si="0"/>
        <v>55.07999999999993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122948.5</v>
      </c>
      <c r="E28" s="84">
        <v>113684.94</v>
      </c>
      <c r="F28" s="84">
        <f>D28</f>
        <v>122948.5</v>
      </c>
      <c r="G28" s="84">
        <f t="shared" si="0"/>
        <v>9263.559999999998</v>
      </c>
    </row>
    <row r="29" spans="1:7" ht="15">
      <c r="A29" s="34" t="s">
        <v>42</v>
      </c>
      <c r="B29" s="34" t="s">
        <v>40</v>
      </c>
      <c r="C29" s="144"/>
      <c r="D29" s="84">
        <v>0</v>
      </c>
      <c r="E29" s="84">
        <v>0</v>
      </c>
      <c r="F29" s="84">
        <f>D29</f>
        <v>0</v>
      </c>
      <c r="G29" s="84">
        <f t="shared" si="0"/>
        <v>0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414827.5</v>
      </c>
      <c r="E30" s="84">
        <v>396250.5</v>
      </c>
      <c r="F30" s="84">
        <f>D30</f>
        <v>414827.5</v>
      </c>
      <c r="G30" s="84">
        <f t="shared" si="0"/>
        <v>18577</v>
      </c>
    </row>
    <row r="31" spans="1:9" s="102" customFormat="1" ht="18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128325.36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24398.017700000008</v>
      </c>
      <c r="H34" s="62"/>
      <c r="I34" s="62"/>
    </row>
    <row r="35" spans="1:13" s="102" customFormat="1" ht="13.5">
      <c r="A35" s="104"/>
      <c r="B35" s="104"/>
      <c r="C35" s="104"/>
      <c r="D35" s="104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27" customHeight="1">
      <c r="A36" s="377" t="s">
        <v>44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101"/>
      <c r="M36" s="101"/>
    </row>
    <row r="38" spans="1:11" ht="28.5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J38" s="74"/>
      <c r="K38" s="74"/>
    </row>
    <row r="39" spans="1:14" s="74" customFormat="1" ht="15">
      <c r="A39" s="109" t="s">
        <v>47</v>
      </c>
      <c r="B39" s="403" t="s">
        <v>111</v>
      </c>
      <c r="C39" s="425"/>
      <c r="D39" s="111"/>
      <c r="E39" s="111"/>
      <c r="F39" s="430">
        <f>SUM(F40:G41)</f>
        <v>192.68540000000002</v>
      </c>
      <c r="G39" s="419"/>
      <c r="H39" s="250"/>
      <c r="I39" s="251"/>
      <c r="J39" s="115"/>
      <c r="K39" s="115"/>
      <c r="N39" s="108"/>
    </row>
    <row r="40" spans="1:7" s="59" customFormat="1" ht="15">
      <c r="A40" s="34" t="s">
        <v>16</v>
      </c>
      <c r="B40" s="382"/>
      <c r="C40" s="384"/>
      <c r="D40" s="119"/>
      <c r="E40" s="119"/>
      <c r="F40" s="446"/>
      <c r="G40" s="447"/>
    </row>
    <row r="41" spans="1:10" s="59" customFormat="1" ht="15">
      <c r="A41" s="34" t="s">
        <v>18</v>
      </c>
      <c r="B41" s="440" t="s">
        <v>191</v>
      </c>
      <c r="C41" s="441"/>
      <c r="D41" s="124"/>
      <c r="E41" s="124"/>
      <c r="F41" s="429">
        <f>E24*1%</f>
        <v>192.68540000000002</v>
      </c>
      <c r="G41" s="429"/>
      <c r="H41" s="157"/>
      <c r="I41" s="157"/>
      <c r="J41" s="157"/>
    </row>
    <row r="42" s="59" customFormat="1" ht="12.75"/>
    <row r="43" spans="1:11" ht="15">
      <c r="A43" s="67" t="s">
        <v>55</v>
      </c>
      <c r="B43" s="67"/>
      <c r="C43" s="126" t="s">
        <v>49</v>
      </c>
      <c r="D43" s="67"/>
      <c r="E43" s="67"/>
      <c r="F43" s="67" t="s">
        <v>90</v>
      </c>
      <c r="G43" s="67"/>
      <c r="H43" s="59"/>
      <c r="I43" s="59"/>
      <c r="J43" s="59"/>
      <c r="K43" s="59"/>
    </row>
    <row r="44" spans="1:7" ht="15">
      <c r="A44" s="67"/>
      <c r="B44" s="67"/>
      <c r="C44" s="126"/>
      <c r="D44" s="67"/>
      <c r="E44" s="67"/>
      <c r="F44" s="127" t="s">
        <v>438</v>
      </c>
      <c r="G44" s="67"/>
    </row>
    <row r="45" spans="1:7" ht="15">
      <c r="A45" s="67" t="s">
        <v>50</v>
      </c>
      <c r="B45" s="67"/>
      <c r="C45" s="126"/>
      <c r="D45" s="67"/>
      <c r="E45" s="67"/>
      <c r="F45" s="67"/>
      <c r="G45" s="67"/>
    </row>
    <row r="46" spans="1:7" ht="15">
      <c r="A46" s="67"/>
      <c r="B46" s="67"/>
      <c r="C46" s="128" t="s">
        <v>51</v>
      </c>
      <c r="D46" s="67"/>
      <c r="E46" s="129"/>
      <c r="F46" s="129"/>
      <c r="G46" s="129"/>
    </row>
  </sheetData>
  <sheetProtection/>
  <mergeCells count="18">
    <mergeCell ref="A10:K10"/>
    <mergeCell ref="A1:K1"/>
    <mergeCell ref="A2:K2"/>
    <mergeCell ref="A3:K3"/>
    <mergeCell ref="A5:K5"/>
    <mergeCell ref="A9:K9"/>
    <mergeCell ref="A11:K11"/>
    <mergeCell ref="A32:C32"/>
    <mergeCell ref="A36:K36"/>
    <mergeCell ref="B38:C38"/>
    <mergeCell ref="F38:G38"/>
    <mergeCell ref="A31:F31"/>
    <mergeCell ref="B41:C41"/>
    <mergeCell ref="F41:G41"/>
    <mergeCell ref="B39:C39"/>
    <mergeCell ref="F39:G39"/>
    <mergeCell ref="B40:C40"/>
    <mergeCell ref="F40:G40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40">
      <selection activeCell="A46" sqref="A46"/>
    </sheetView>
  </sheetViews>
  <sheetFormatPr defaultColWidth="9.140625" defaultRowHeight="15" outlineLevelCol="1"/>
  <cols>
    <col min="1" max="1" width="4.7109375" style="35" customWidth="1"/>
    <col min="2" max="2" width="48.00390625" style="35" customWidth="1"/>
    <col min="3" max="3" width="12.8515625" style="35" customWidth="1"/>
    <col min="4" max="4" width="13.140625" style="35" bestFit="1" customWidth="1"/>
    <col min="5" max="5" width="14.28125" style="35" customWidth="1"/>
    <col min="6" max="6" width="15.14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4.2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12.7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5" s="67" customFormat="1" ht="16.5" customHeight="1">
      <c r="A7" s="67" t="s">
        <v>2</v>
      </c>
      <c r="E7" s="127" t="s">
        <v>59</v>
      </c>
    </row>
    <row r="8" spans="1:5" s="67" customFormat="1" ht="15">
      <c r="A8" s="67" t="s">
        <v>3</v>
      </c>
      <c r="E8" s="295" t="s">
        <v>417</v>
      </c>
    </row>
    <row r="9" s="67" customFormat="1" ht="15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330</v>
      </c>
      <c r="B14" s="64"/>
      <c r="C14" s="64"/>
      <c r="D14" s="69"/>
      <c r="E14" s="70"/>
      <c r="F14" s="70"/>
      <c r="G14" s="145">
        <f>'[1]Социалистическая 4'!$G$36</f>
        <v>171860.85</v>
      </c>
      <c r="H14" s="62"/>
      <c r="I14" s="62"/>
    </row>
    <row r="15" spans="1:9" s="67" customFormat="1" ht="15.75" thickBot="1">
      <c r="A15" s="63" t="s">
        <v>331</v>
      </c>
      <c r="B15" s="64"/>
      <c r="C15" s="64"/>
      <c r="D15" s="69"/>
      <c r="E15" s="70"/>
      <c r="F15" s="70"/>
      <c r="G15" s="145">
        <f>'[1]Социалистическая 4'!$G$37</f>
        <v>260981.1417</v>
      </c>
      <c r="H15" s="62"/>
      <c r="I15" s="62"/>
    </row>
    <row r="16" s="67" customFormat="1" ht="6.75" customHeight="1"/>
    <row r="17" spans="1:7" s="74" customFormat="1" ht="52.5" customHeight="1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14.25">
      <c r="A18" s="75" t="s">
        <v>14</v>
      </c>
      <c r="B18" s="41" t="s">
        <v>15</v>
      </c>
      <c r="C18" s="136">
        <f>C19+C20+C21+C22</f>
        <v>9.879999999999999</v>
      </c>
      <c r="D18" s="76">
        <v>415339.92</v>
      </c>
      <c r="E18" s="76">
        <v>488991.11</v>
      </c>
      <c r="F18" s="76">
        <f>D18</f>
        <v>415339.92</v>
      </c>
      <c r="G18" s="77">
        <f>D18-E18</f>
        <v>-73651.19</v>
      </c>
      <c r="H18" s="167">
        <f>C18</f>
        <v>9.879999999999999</v>
      </c>
    </row>
    <row r="19" spans="1:9" s="67" customFormat="1" ht="15">
      <c r="A19" s="81" t="s">
        <v>16</v>
      </c>
      <c r="B19" s="34" t="s">
        <v>17</v>
      </c>
      <c r="C19" s="99">
        <v>3.46</v>
      </c>
      <c r="D19" s="83">
        <f>D18*I19</f>
        <v>145453.04890688258</v>
      </c>
      <c r="E19" s="83">
        <f>E18*I19</f>
        <v>171245.8745546559</v>
      </c>
      <c r="F19" s="83">
        <f>D19</f>
        <v>145453.04890688258</v>
      </c>
      <c r="G19" s="84">
        <f>D19-E19</f>
        <v>-25792.82564777331</v>
      </c>
      <c r="H19" s="146">
        <f>C19</f>
        <v>3.46</v>
      </c>
      <c r="I19" s="67">
        <f>H19/H18</f>
        <v>0.3502024291497976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71044.98631578947</v>
      </c>
      <c r="E20" s="83">
        <f>E18*I20</f>
        <v>83643.21618421053</v>
      </c>
      <c r="F20" s="83">
        <f>D20</f>
        <v>71044.98631578947</v>
      </c>
      <c r="G20" s="84">
        <f>D20-E20</f>
        <v>-12598.229868421055</v>
      </c>
      <c r="H20" s="146">
        <f>C20</f>
        <v>1.69</v>
      </c>
      <c r="I20" s="67">
        <f>H20/H18</f>
        <v>0.17105263157894737</v>
      </c>
    </row>
    <row r="21" spans="1:9" s="67" customFormat="1" ht="15">
      <c r="A21" s="81" t="s">
        <v>20</v>
      </c>
      <c r="B21" s="34" t="s">
        <v>21</v>
      </c>
      <c r="C21" s="99">
        <v>1.69</v>
      </c>
      <c r="D21" s="83">
        <f>D18*I21</f>
        <v>71044.98631578947</v>
      </c>
      <c r="E21" s="83">
        <f>E18*I21</f>
        <v>83643.21618421053</v>
      </c>
      <c r="F21" s="83">
        <f>D21</f>
        <v>71044.98631578947</v>
      </c>
      <c r="G21" s="84">
        <f>D21-E21</f>
        <v>-12598.229868421055</v>
      </c>
      <c r="H21" s="146">
        <f>C21</f>
        <v>1.69</v>
      </c>
      <c r="I21" s="67">
        <f>H21/H18</f>
        <v>0.17105263157894737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127796.89846153847</v>
      </c>
      <c r="E22" s="83">
        <f>E18*I22</f>
        <v>150458.80307692307</v>
      </c>
      <c r="F22" s="83">
        <f>D22</f>
        <v>127796.89846153847</v>
      </c>
      <c r="G22" s="84">
        <f>D22-E22</f>
        <v>-22661.9046153846</v>
      </c>
      <c r="H22" s="146">
        <f>C22</f>
        <v>3.04</v>
      </c>
      <c r="I22" s="67">
        <f>H22/H18</f>
        <v>0.3076923076923077</v>
      </c>
    </row>
    <row r="23" spans="1:7" s="39" customFormat="1" ht="14.25">
      <c r="A23" s="41" t="s">
        <v>25</v>
      </c>
      <c r="B23" s="141" t="s">
        <v>26</v>
      </c>
      <c r="C23" s="97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1" t="s">
        <v>28</v>
      </c>
      <c r="C24" s="97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1" t="s">
        <v>163</v>
      </c>
      <c r="C25" s="142">
        <v>0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7" s="39" customFormat="1" ht="14.25">
      <c r="A26" s="41" t="s">
        <v>31</v>
      </c>
      <c r="B26" s="141" t="s">
        <v>116</v>
      </c>
      <c r="C26" s="97">
        <v>1.86</v>
      </c>
      <c r="D26" s="77">
        <v>78191.28</v>
      </c>
      <c r="E26" s="77">
        <v>92979.11</v>
      </c>
      <c r="F26" s="76">
        <f>F42</f>
        <v>49929.7911</v>
      </c>
      <c r="G26" s="77">
        <f t="shared" si="1"/>
        <v>-14787.830000000002</v>
      </c>
    </row>
    <row r="27" spans="1:7" s="39" customFormat="1" ht="14.25">
      <c r="A27" s="41" t="s">
        <v>33</v>
      </c>
      <c r="B27" s="135" t="s">
        <v>34</v>
      </c>
      <c r="C27" s="46">
        <v>0</v>
      </c>
      <c r="D27" s="77">
        <v>0</v>
      </c>
      <c r="E27" s="77">
        <v>4250</v>
      </c>
      <c r="F27" s="76">
        <f>D27</f>
        <v>0</v>
      </c>
      <c r="G27" s="77">
        <f t="shared" si="1"/>
        <v>-4250</v>
      </c>
    </row>
    <row r="28" spans="1:7" s="39" customFormat="1" ht="14.25">
      <c r="A28" s="41" t="s">
        <v>35</v>
      </c>
      <c r="B28" s="135" t="s">
        <v>36</v>
      </c>
      <c r="C28" s="97"/>
      <c r="D28" s="77">
        <f>SUM(D29:D32)</f>
        <v>1902096.98</v>
      </c>
      <c r="E28" s="77">
        <f>SUM(E29:E32)</f>
        <v>2105221.31</v>
      </c>
      <c r="F28" s="76">
        <f t="shared" si="0"/>
        <v>1902096.98</v>
      </c>
      <c r="G28" s="77">
        <f t="shared" si="1"/>
        <v>-203124.33000000007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32262.5</v>
      </c>
      <c r="E29" s="84">
        <v>33060.76</v>
      </c>
      <c r="F29" s="83">
        <v>1518.22</v>
      </c>
      <c r="G29" s="84">
        <f t="shared" si="1"/>
        <v>-798.260000000002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508122.48</v>
      </c>
      <c r="E30" s="84">
        <v>638473.04</v>
      </c>
      <c r="F30" s="83">
        <f t="shared" si="0"/>
        <v>508122.48</v>
      </c>
      <c r="G30" s="84">
        <f t="shared" si="1"/>
        <v>-130350.56000000006</v>
      </c>
    </row>
    <row r="31" spans="1:7" ht="14.25" customHeight="1">
      <c r="A31" s="34" t="s">
        <v>42</v>
      </c>
      <c r="B31" s="34" t="s">
        <v>40</v>
      </c>
      <c r="C31" s="290">
        <v>0</v>
      </c>
      <c r="D31" s="84">
        <v>0</v>
      </c>
      <c r="E31" s="84">
        <v>0</v>
      </c>
      <c r="F31" s="83">
        <f t="shared" si="0"/>
        <v>0</v>
      </c>
      <c r="G31" s="84">
        <f t="shared" si="1"/>
        <v>0</v>
      </c>
    </row>
    <row r="32" spans="1:7" ht="15" customHeight="1">
      <c r="A32" s="34" t="s">
        <v>41</v>
      </c>
      <c r="B32" s="34" t="s">
        <v>43</v>
      </c>
      <c r="C32" s="289" t="s">
        <v>407</v>
      </c>
      <c r="D32" s="84">
        <v>1361712</v>
      </c>
      <c r="E32" s="84">
        <v>1433687.51</v>
      </c>
      <c r="F32" s="83">
        <f t="shared" si="0"/>
        <v>1361712</v>
      </c>
      <c r="G32" s="84">
        <f t="shared" si="1"/>
        <v>-71975.51000000001</v>
      </c>
    </row>
    <row r="33" spans="1:10" s="102" customFormat="1" ht="18" customHeight="1" thickBot="1">
      <c r="A33" s="104"/>
      <c r="B33" s="104"/>
      <c r="C33" s="104"/>
      <c r="D33" s="101"/>
      <c r="E33" s="101"/>
      <c r="F33" s="101"/>
      <c r="G33" s="101"/>
      <c r="H33" s="101"/>
      <c r="I33" s="101"/>
      <c r="J33" s="101"/>
    </row>
    <row r="34" spans="1:9" s="67" customFormat="1" ht="15.75" thickBot="1">
      <c r="A34" s="438" t="s">
        <v>410</v>
      </c>
      <c r="B34" s="439"/>
      <c r="C34" s="439"/>
      <c r="D34" s="65">
        <v>1412921.87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412</v>
      </c>
      <c r="B36" s="64"/>
      <c r="C36" s="64"/>
      <c r="D36" s="69"/>
      <c r="E36" s="70"/>
      <c r="F36" s="70"/>
      <c r="G36" s="145">
        <f>G14+E27-F27</f>
        <v>176110.85</v>
      </c>
      <c r="H36" s="62"/>
      <c r="I36" s="62"/>
    </row>
    <row r="37" spans="1:9" s="67" customFormat="1" ht="15.75" thickBot="1">
      <c r="A37" s="63" t="s">
        <v>413</v>
      </c>
      <c r="B37" s="64"/>
      <c r="C37" s="64"/>
      <c r="D37" s="69"/>
      <c r="E37" s="70"/>
      <c r="F37" s="70"/>
      <c r="G37" s="145">
        <f>G15+E26-F26</f>
        <v>304030.4606</v>
      </c>
      <c r="H37" s="62"/>
      <c r="I37" s="62"/>
    </row>
    <row r="38" spans="1:9" s="67" customFormat="1" ht="15">
      <c r="A38" s="68"/>
      <c r="B38" s="68"/>
      <c r="C38" s="68"/>
      <c r="D38" s="40"/>
      <c r="E38" s="66"/>
      <c r="F38" s="66"/>
      <c r="G38" s="40"/>
      <c r="H38" s="62"/>
      <c r="I38" s="62"/>
    </row>
    <row r="39" spans="1:9" ht="24" customHeight="1">
      <c r="A39" s="377" t="s">
        <v>44</v>
      </c>
      <c r="B39" s="377"/>
      <c r="C39" s="377"/>
      <c r="D39" s="377"/>
      <c r="E39" s="377"/>
      <c r="F39" s="377"/>
      <c r="G39" s="377"/>
      <c r="H39" s="377"/>
      <c r="I39" s="377"/>
    </row>
    <row r="40" ht="8.25" customHeight="1"/>
    <row r="41" spans="1:7" s="172" customFormat="1" ht="28.5" customHeight="1">
      <c r="A41" s="105" t="s">
        <v>11</v>
      </c>
      <c r="B41" s="177" t="s">
        <v>45</v>
      </c>
      <c r="C41" s="178"/>
      <c r="D41" s="105" t="s">
        <v>165</v>
      </c>
      <c r="E41" s="105" t="s">
        <v>164</v>
      </c>
      <c r="F41" s="401" t="s">
        <v>46</v>
      </c>
      <c r="G41" s="419"/>
    </row>
    <row r="42" spans="1:7" s="115" customFormat="1" ht="14.25" customHeight="1">
      <c r="A42" s="109" t="s">
        <v>47</v>
      </c>
      <c r="B42" s="403" t="s">
        <v>111</v>
      </c>
      <c r="C42" s="425"/>
      <c r="D42" s="173"/>
      <c r="E42" s="173"/>
      <c r="F42" s="430">
        <f>SUM(F43:L45)</f>
        <v>49929.7911</v>
      </c>
      <c r="G42" s="419"/>
    </row>
    <row r="43" spans="1:7" ht="14.25" customHeight="1">
      <c r="A43" s="34" t="s">
        <v>16</v>
      </c>
      <c r="B43" s="382" t="s">
        <v>694</v>
      </c>
      <c r="C43" s="432"/>
      <c r="D43" s="152"/>
      <c r="E43" s="153"/>
      <c r="F43" s="424">
        <v>49000</v>
      </c>
      <c r="G43" s="424"/>
    </row>
    <row r="44" spans="1:7" ht="14.25" customHeight="1">
      <c r="A44" s="34" t="s">
        <v>18</v>
      </c>
      <c r="B44" s="382"/>
      <c r="C44" s="384"/>
      <c r="D44" s="152"/>
      <c r="E44" s="153"/>
      <c r="F44" s="429"/>
      <c r="G44" s="429"/>
    </row>
    <row r="45" spans="1:7" ht="14.25" customHeight="1">
      <c r="A45" s="34" t="s">
        <v>20</v>
      </c>
      <c r="B45" s="183" t="s">
        <v>191</v>
      </c>
      <c r="C45" s="184"/>
      <c r="D45" s="191"/>
      <c r="E45" s="191"/>
      <c r="F45" s="429">
        <f>E26*1%</f>
        <v>929.7911</v>
      </c>
      <c r="G45" s="429"/>
    </row>
    <row r="46" spans="2:5" ht="8.25" customHeight="1">
      <c r="B46" s="155"/>
      <c r="C46" s="155"/>
      <c r="D46" s="155"/>
      <c r="E46" s="155"/>
    </row>
    <row r="47" spans="1:6" s="67" customFormat="1" ht="15">
      <c r="A47" s="67" t="s">
        <v>55</v>
      </c>
      <c r="C47" s="67" t="s">
        <v>49</v>
      </c>
      <c r="F47" s="67" t="s">
        <v>90</v>
      </c>
    </row>
    <row r="48" s="67" customFormat="1" ht="13.5" customHeight="1">
      <c r="F48" s="127" t="s">
        <v>438</v>
      </c>
    </row>
    <row r="49" s="67" customFormat="1" ht="15">
      <c r="A49" s="67" t="s">
        <v>50</v>
      </c>
    </row>
    <row r="50" spans="3:7" s="67" customFormat="1" ht="15">
      <c r="C50" s="129" t="s">
        <v>51</v>
      </c>
      <c r="E50" s="129"/>
      <c r="F50" s="129"/>
      <c r="G50" s="129"/>
    </row>
    <row r="51" s="67" customFormat="1" ht="15"/>
    <row r="52" s="67" customFormat="1" ht="15"/>
  </sheetData>
  <sheetProtection/>
  <mergeCells count="17">
    <mergeCell ref="F45:G45"/>
    <mergeCell ref="F43:G43"/>
    <mergeCell ref="B43:C43"/>
    <mergeCell ref="F41:G41"/>
    <mergeCell ref="F42:G42"/>
    <mergeCell ref="B42:C42"/>
    <mergeCell ref="B44:C44"/>
    <mergeCell ref="F44:G44"/>
    <mergeCell ref="A39:I39"/>
    <mergeCell ref="A12:I12"/>
    <mergeCell ref="A34:C34"/>
    <mergeCell ref="A1:I1"/>
    <mergeCell ref="A2:I2"/>
    <mergeCell ref="A5:I5"/>
    <mergeCell ref="A10:I10"/>
    <mergeCell ref="A3:K3"/>
    <mergeCell ref="A11:I11"/>
  </mergeCells>
  <printOptions/>
  <pageMargins left="0.5905511811023623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38">
      <selection activeCell="A47" sqref="A47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216</v>
      </c>
      <c r="H7" s="60"/>
    </row>
    <row r="8" spans="1:8" s="59" customFormat="1" ht="12.75">
      <c r="A8" s="59" t="s">
        <v>3</v>
      </c>
      <c r="F8" s="305" t="s">
        <v>359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'[1]Хрустальная 52'!$G$34</f>
        <v>-187702.4667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577244.92</v>
      </c>
      <c r="E16" s="76">
        <v>575772.11</v>
      </c>
      <c r="F16" s="76">
        <f aca="true" t="shared" si="0" ref="F16:F23">D16</f>
        <v>577244.92</v>
      </c>
      <c r="G16" s="77">
        <f>D16-E16</f>
        <v>1472.8100000000559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193159.32526112188</v>
      </c>
      <c r="E17" s="83">
        <f>E16*I17</f>
        <v>192666.48941972922</v>
      </c>
      <c r="F17" s="83">
        <f t="shared" si="0"/>
        <v>193159.32526112188</v>
      </c>
      <c r="G17" s="84">
        <f>D17-E17</f>
        <v>492.8358413926617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94346.60684719536</v>
      </c>
      <c r="E18" s="83">
        <f>E16*I18</f>
        <v>94105.88645067698</v>
      </c>
      <c r="F18" s="83">
        <f t="shared" si="0"/>
        <v>94346.60684719536</v>
      </c>
      <c r="G18" s="84">
        <f>D18-E18</f>
        <v>240.72039651838713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120026.74835589943</v>
      </c>
      <c r="E19" s="83">
        <f>E16*I19</f>
        <v>119720.50643133462</v>
      </c>
      <c r="F19" s="83">
        <f t="shared" si="0"/>
        <v>120026.74835589943</v>
      </c>
      <c r="G19" s="84">
        <f>D19-E19</f>
        <v>306.24192456480523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169712.2395357834</v>
      </c>
      <c r="E20" s="83">
        <f>E16*I20</f>
        <v>169279.2276982592</v>
      </c>
      <c r="F20" s="83">
        <f t="shared" si="0"/>
        <v>169712.2395357834</v>
      </c>
      <c r="G20" s="84">
        <f>D20-E20</f>
        <v>433.0118375241873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302</v>
      </c>
      <c r="C22" s="46">
        <v>150</v>
      </c>
      <c r="D22" s="87">
        <v>180997.12</v>
      </c>
      <c r="E22" s="87">
        <v>179276.79</v>
      </c>
      <c r="F22" s="87">
        <f t="shared" si="0"/>
        <v>180997.12</v>
      </c>
      <c r="G22" s="77">
        <f t="shared" si="1"/>
        <v>1720.3299999999872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112112.76</v>
      </c>
      <c r="E24" s="87">
        <v>111849.25</v>
      </c>
      <c r="F24" s="87">
        <f>F38</f>
        <v>46838.8425</v>
      </c>
      <c r="G24" s="77">
        <f t="shared" si="1"/>
        <v>263.50999999999476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1902.11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2554570.3200000003</v>
      </c>
      <c r="E26" s="77">
        <f>SUM(E27:E30)</f>
        <v>2551978.02</v>
      </c>
      <c r="F26" s="77">
        <f>SUM(F27:F30)</f>
        <v>2554570.3200000003</v>
      </c>
      <c r="G26" s="77">
        <f t="shared" si="1"/>
        <v>2592.3000000002794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41194.5</v>
      </c>
      <c r="E27" s="84">
        <v>41021.42</v>
      </c>
      <c r="F27" s="84">
        <f>D27</f>
        <v>41194.5</v>
      </c>
      <c r="G27" s="84">
        <f t="shared" si="1"/>
        <v>173.08000000000175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366109.73</v>
      </c>
      <c r="E28" s="84">
        <v>371672.22</v>
      </c>
      <c r="F28" s="84">
        <f>D28</f>
        <v>366109.73</v>
      </c>
      <c r="G28" s="84">
        <f t="shared" si="1"/>
        <v>-5562.489999999991</v>
      </c>
    </row>
    <row r="29" spans="1:7" ht="15">
      <c r="A29" s="34" t="s">
        <v>42</v>
      </c>
      <c r="B29" s="34" t="s">
        <v>421</v>
      </c>
      <c r="C29" s="290" t="s">
        <v>408</v>
      </c>
      <c r="D29" s="213">
        <v>536736.04</v>
      </c>
      <c r="E29" s="213">
        <v>538770.84</v>
      </c>
      <c r="F29" s="84">
        <f>D29</f>
        <v>536736.04</v>
      </c>
      <c r="G29" s="84">
        <f t="shared" si="1"/>
        <v>-2034.7999999999302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1610530.05</v>
      </c>
      <c r="E30" s="84">
        <v>1600513.54</v>
      </c>
      <c r="F30" s="84">
        <f>D30</f>
        <v>1610530.05</v>
      </c>
      <c r="G30" s="84">
        <f t="shared" si="1"/>
        <v>10016.51000000001</v>
      </c>
    </row>
    <row r="31" spans="1:9" s="102" customFormat="1" ht="23.2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764691.35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-122692.05919999999</v>
      </c>
      <c r="H34" s="62"/>
      <c r="I34" s="62"/>
      <c r="K34" s="146"/>
    </row>
    <row r="35" spans="1:11" ht="31.5" customHeight="1">
      <c r="A35" s="377" t="s">
        <v>182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SUM(F39:G46)</f>
        <v>46838.8425</v>
      </c>
      <c r="G38" s="419"/>
      <c r="H38" s="250"/>
      <c r="I38" s="251"/>
      <c r="L38" s="116"/>
    </row>
    <row r="39" spans="1:12" ht="15">
      <c r="A39" s="34" t="s">
        <v>16</v>
      </c>
      <c r="B39" s="413" t="s">
        <v>385</v>
      </c>
      <c r="C39" s="423"/>
      <c r="D39" s="349" t="s">
        <v>236</v>
      </c>
      <c r="E39" s="349">
        <v>3</v>
      </c>
      <c r="F39" s="451">
        <v>2907.44</v>
      </c>
      <c r="G39" s="452"/>
      <c r="H39" s="252"/>
      <c r="I39" s="253"/>
      <c r="L39" s="120"/>
    </row>
    <row r="40" spans="1:12" ht="15">
      <c r="A40" s="34" t="s">
        <v>18</v>
      </c>
      <c r="B40" s="413" t="s">
        <v>398</v>
      </c>
      <c r="C40" s="442"/>
      <c r="D40" s="349" t="s">
        <v>168</v>
      </c>
      <c r="E40" s="349">
        <v>6</v>
      </c>
      <c r="F40" s="451">
        <v>8500</v>
      </c>
      <c r="G40" s="452"/>
      <c r="H40" s="40"/>
      <c r="I40" s="40"/>
      <c r="L40" s="120"/>
    </row>
    <row r="41" spans="1:12" ht="15">
      <c r="A41" s="34" t="s">
        <v>20</v>
      </c>
      <c r="B41" s="413" t="s">
        <v>383</v>
      </c>
      <c r="C41" s="442"/>
      <c r="D41" s="349" t="s">
        <v>230</v>
      </c>
      <c r="E41" s="349">
        <v>0.25</v>
      </c>
      <c r="F41" s="451">
        <v>1266.23</v>
      </c>
      <c r="G41" s="452"/>
      <c r="H41" s="40"/>
      <c r="I41" s="40"/>
      <c r="L41" s="120"/>
    </row>
    <row r="42" spans="1:12" ht="15">
      <c r="A42" s="34" t="s">
        <v>22</v>
      </c>
      <c r="B42" s="413" t="s">
        <v>162</v>
      </c>
      <c r="C42" s="442"/>
      <c r="D42" s="349" t="s">
        <v>169</v>
      </c>
      <c r="E42" s="349">
        <v>982</v>
      </c>
      <c r="F42" s="451">
        <v>10546.68</v>
      </c>
      <c r="G42" s="452"/>
      <c r="H42" s="40"/>
      <c r="I42" s="40"/>
      <c r="L42" s="120"/>
    </row>
    <row r="43" spans="1:12" ht="15">
      <c r="A43" s="34" t="s">
        <v>24</v>
      </c>
      <c r="B43" s="382" t="s">
        <v>170</v>
      </c>
      <c r="C43" s="432"/>
      <c r="D43" s="119"/>
      <c r="E43" s="119"/>
      <c r="F43" s="446">
        <v>10500</v>
      </c>
      <c r="G43" s="447"/>
      <c r="H43" s="40"/>
      <c r="I43" s="40"/>
      <c r="L43" s="120"/>
    </row>
    <row r="44" spans="1:12" ht="15">
      <c r="A44" s="34" t="s">
        <v>103</v>
      </c>
      <c r="B44" s="382" t="s">
        <v>753</v>
      </c>
      <c r="C44" s="432"/>
      <c r="D44" s="119" t="s">
        <v>236</v>
      </c>
      <c r="E44" s="153">
        <v>2</v>
      </c>
      <c r="F44" s="429">
        <v>12000</v>
      </c>
      <c r="G44" s="429"/>
      <c r="H44" s="40"/>
      <c r="I44" s="40"/>
      <c r="L44" s="120"/>
    </row>
    <row r="45" spans="1:12" ht="15">
      <c r="A45" s="34" t="s">
        <v>104</v>
      </c>
      <c r="B45" s="382"/>
      <c r="C45" s="432"/>
      <c r="D45" s="119"/>
      <c r="E45" s="153"/>
      <c r="F45" s="429"/>
      <c r="G45" s="429"/>
      <c r="H45" s="40"/>
      <c r="I45" s="40"/>
      <c r="L45" s="120"/>
    </row>
    <row r="46" spans="1:11" s="67" customFormat="1" ht="15">
      <c r="A46" s="34" t="s">
        <v>117</v>
      </c>
      <c r="B46" s="440" t="s">
        <v>191</v>
      </c>
      <c r="C46" s="441"/>
      <c r="D46" s="124"/>
      <c r="E46" s="124"/>
      <c r="F46" s="429">
        <f>E24*1%</f>
        <v>1118.4925</v>
      </c>
      <c r="G46" s="429"/>
      <c r="H46" s="59"/>
      <c r="I46" s="59"/>
      <c r="J46" s="59"/>
      <c r="K46" s="59"/>
    </row>
    <row r="47" spans="1:7" s="59" customFormat="1" ht="9" customHeight="1">
      <c r="A47" s="169"/>
      <c r="B47" s="180"/>
      <c r="C47" s="180"/>
      <c r="D47" s="216"/>
      <c r="E47" s="216"/>
      <c r="F47" s="181"/>
      <c r="G47" s="181"/>
    </row>
    <row r="48" spans="1:11" s="59" customFormat="1" ht="15">
      <c r="A48" s="67" t="s">
        <v>55</v>
      </c>
      <c r="B48" s="67"/>
      <c r="C48" s="126" t="s">
        <v>49</v>
      </c>
      <c r="D48" s="67"/>
      <c r="E48" s="67"/>
      <c r="F48" s="67" t="s">
        <v>90</v>
      </c>
      <c r="G48" s="67"/>
      <c r="H48" s="67"/>
      <c r="I48" s="67"/>
      <c r="J48" s="67"/>
      <c r="K48" s="67"/>
    </row>
    <row r="49" spans="1:7" s="59" customFormat="1" ht="15">
      <c r="A49" s="67"/>
      <c r="B49" s="67"/>
      <c r="C49" s="126"/>
      <c r="D49" s="67"/>
      <c r="E49" s="67"/>
      <c r="F49" s="127" t="s">
        <v>438</v>
      </c>
      <c r="G49" s="67"/>
    </row>
    <row r="50" spans="1:10" s="59" customFormat="1" ht="15">
      <c r="A50" s="67" t="s">
        <v>50</v>
      </c>
      <c r="B50" s="67"/>
      <c r="C50" s="126"/>
      <c r="D50" s="67"/>
      <c r="E50" s="67"/>
      <c r="F50" s="67"/>
      <c r="G50" s="67"/>
      <c r="H50" s="157"/>
      <c r="I50" s="157"/>
      <c r="J50" s="157"/>
    </row>
    <row r="51" spans="1:11" ht="15">
      <c r="A51" s="67"/>
      <c r="B51" s="67"/>
      <c r="C51" s="128" t="s">
        <v>51</v>
      </c>
      <c r="D51" s="67"/>
      <c r="E51" s="129"/>
      <c r="F51" s="129"/>
      <c r="G51" s="129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sheetProtection/>
  <mergeCells count="30">
    <mergeCell ref="B45:C45"/>
    <mergeCell ref="F45:G45"/>
    <mergeCell ref="B46:C46"/>
    <mergeCell ref="F46:G46"/>
    <mergeCell ref="B38:C38"/>
    <mergeCell ref="F38:G38"/>
    <mergeCell ref="B39:C39"/>
    <mergeCell ref="F39:G39"/>
    <mergeCell ref="B44:C44"/>
    <mergeCell ref="F44:G44"/>
    <mergeCell ref="B40:C40"/>
    <mergeCell ref="B43:C43"/>
    <mergeCell ref="A11:K11"/>
    <mergeCell ref="A32:C32"/>
    <mergeCell ref="A35:K35"/>
    <mergeCell ref="B37:C37"/>
    <mergeCell ref="F37:G37"/>
    <mergeCell ref="A31:F31"/>
    <mergeCell ref="F40:G40"/>
    <mergeCell ref="F43:G43"/>
    <mergeCell ref="B41:C41"/>
    <mergeCell ref="F41:G41"/>
    <mergeCell ref="B42:C42"/>
    <mergeCell ref="F42:G42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7030A0"/>
  </sheetPr>
  <dimension ref="A1:O57"/>
  <sheetViews>
    <sheetView zoomScalePageLayoutView="0" workbookViewId="0" topLeftCell="A37">
      <selection activeCell="F50" sqref="F50:G50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10" width="11.57421875" style="57" hidden="1" customWidth="1" outlineLevel="1"/>
    <col min="11" max="11" width="10.140625" style="57" hidden="1" customWidth="1" outlineLevel="1"/>
    <col min="12" max="12" width="10.421875" style="57" customWidth="1" collapsed="1"/>
    <col min="13" max="13" width="9.140625" style="57" customWidth="1"/>
    <col min="14" max="14" width="10.00390625" style="57" bestFit="1" customWidth="1"/>
    <col min="15" max="15" width="15.8515625" style="57" customWidth="1"/>
    <col min="16" max="16384" width="9.140625" style="57" customWidth="1"/>
  </cols>
  <sheetData>
    <row r="1" spans="1:12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2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2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</row>
    <row r="7" spans="1:9" s="59" customFormat="1" ht="16.5" customHeight="1">
      <c r="A7" s="59" t="s">
        <v>2</v>
      </c>
      <c r="F7" s="60" t="s">
        <v>213</v>
      </c>
      <c r="H7" s="60"/>
      <c r="I7" s="60"/>
    </row>
    <row r="8" spans="1:11" s="59" customFormat="1" ht="12.75">
      <c r="A8" s="59" t="s">
        <v>3</v>
      </c>
      <c r="F8" s="305" t="s">
        <v>360</v>
      </c>
      <c r="H8" s="60">
        <f>3157.8+20.3</f>
        <v>3178.1000000000004</v>
      </c>
      <c r="I8" s="277"/>
      <c r="J8" s="61">
        <f>49.8+36+98.1</f>
        <v>183.89999999999998</v>
      </c>
      <c r="K8" s="61">
        <f>H8+J8</f>
        <v>3362.0000000000005</v>
      </c>
    </row>
    <row r="9" spans="1:12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</row>
    <row r="10" spans="1:12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</row>
    <row r="11" spans="1:12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</row>
    <row r="12" spans="1:10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  <c r="J12" s="62"/>
    </row>
    <row r="13" spans="1:10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'[1]Хрустальная 56'!$G$34</f>
        <v>108139.00510000001</v>
      </c>
      <c r="H13" s="62"/>
      <c r="I13" s="62"/>
      <c r="J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5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394481.64</v>
      </c>
      <c r="E16" s="76">
        <v>399551.76</v>
      </c>
      <c r="F16" s="76">
        <f aca="true" t="shared" si="0" ref="F16:F23">D16</f>
        <v>394481.64</v>
      </c>
      <c r="G16" s="77">
        <f>D16-E16</f>
        <v>-5070.119999999995</v>
      </c>
      <c r="H16" s="78">
        <f>C16</f>
        <v>10.34</v>
      </c>
      <c r="I16" s="78"/>
      <c r="J16" s="79"/>
      <c r="K16" s="79"/>
      <c r="L16" s="79"/>
      <c r="N16" s="78"/>
      <c r="O16" s="80"/>
    </row>
    <row r="17" spans="1:10" s="59" customFormat="1" ht="15">
      <c r="A17" s="81" t="s">
        <v>16</v>
      </c>
      <c r="B17" s="34" t="s">
        <v>17</v>
      </c>
      <c r="C17" s="82">
        <v>3.46</v>
      </c>
      <c r="D17" s="83">
        <f>D16*J17</f>
        <v>132002.5603868472</v>
      </c>
      <c r="E17" s="83">
        <f>E16*J17</f>
        <v>133699.13825918763</v>
      </c>
      <c r="F17" s="83">
        <f t="shared" si="0"/>
        <v>132002.5603868472</v>
      </c>
      <c r="G17" s="84">
        <f>D17-E17</f>
        <v>-1696.577872340422</v>
      </c>
      <c r="H17" s="78">
        <f>C17</f>
        <v>3.46</v>
      </c>
      <c r="I17" s="78"/>
      <c r="J17" s="59">
        <f>H17/H16</f>
        <v>0.33462282398452614</v>
      </c>
    </row>
    <row r="18" spans="1:10" s="59" customFormat="1" ht="15">
      <c r="A18" s="81" t="s">
        <v>18</v>
      </c>
      <c r="B18" s="34" t="s">
        <v>19</v>
      </c>
      <c r="C18" s="85">
        <v>1.69</v>
      </c>
      <c r="D18" s="83">
        <f>D16*J18</f>
        <v>64475.239032882004</v>
      </c>
      <c r="E18" s="83">
        <f>E16*J18</f>
        <v>65303.914352030944</v>
      </c>
      <c r="F18" s="83">
        <f t="shared" si="0"/>
        <v>64475.239032882004</v>
      </c>
      <c r="G18" s="84">
        <f>D18-E18</f>
        <v>-828.6753191489406</v>
      </c>
      <c r="H18" s="78">
        <f>C18</f>
        <v>1.69</v>
      </c>
      <c r="I18" s="78"/>
      <c r="J18" s="59">
        <f>H18/H16</f>
        <v>0.1634429400386847</v>
      </c>
    </row>
    <row r="19" spans="1:10" s="59" customFormat="1" ht="15">
      <c r="A19" s="81" t="s">
        <v>20</v>
      </c>
      <c r="B19" s="34" t="s">
        <v>21</v>
      </c>
      <c r="C19" s="85">
        <v>2.15</v>
      </c>
      <c r="D19" s="83">
        <f>D16*J19</f>
        <v>82024.71237911025</v>
      </c>
      <c r="E19" s="83">
        <f>E16*J19</f>
        <v>83078.94429400387</v>
      </c>
      <c r="F19" s="83">
        <f t="shared" si="0"/>
        <v>82024.71237911025</v>
      </c>
      <c r="G19" s="84">
        <f>D19-E19</f>
        <v>-1054.2319148936222</v>
      </c>
      <c r="H19" s="78">
        <f>C19</f>
        <v>2.15</v>
      </c>
      <c r="I19" s="78"/>
      <c r="J19" s="59">
        <f>H19/H16</f>
        <v>0.2079303675048356</v>
      </c>
    </row>
    <row r="20" spans="1:10" s="59" customFormat="1" ht="15">
      <c r="A20" s="81" t="s">
        <v>22</v>
      </c>
      <c r="B20" s="34" t="s">
        <v>23</v>
      </c>
      <c r="C20" s="82">
        <v>3.04</v>
      </c>
      <c r="D20" s="83">
        <f>D16*J20</f>
        <v>115979.12820116055</v>
      </c>
      <c r="E20" s="83">
        <f>E16*J20</f>
        <v>117469.76309477758</v>
      </c>
      <c r="F20" s="83">
        <f t="shared" si="0"/>
        <v>115979.12820116055</v>
      </c>
      <c r="G20" s="84">
        <f>D20-E20</f>
        <v>-1490.6348936170252</v>
      </c>
      <c r="H20" s="78">
        <f>C20</f>
        <v>3.04</v>
      </c>
      <c r="I20" s="78"/>
      <c r="J20" s="59">
        <f>H20/H16</f>
        <v>0.2940038684719536</v>
      </c>
    </row>
    <row r="21" spans="1:12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  <c r="L21" s="88"/>
    </row>
    <row r="22" spans="1:12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  <c r="L22" s="88"/>
    </row>
    <row r="23" spans="1:12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  <c r="L23" s="88"/>
    </row>
    <row r="24" spans="1:12" s="89" customFormat="1" ht="14.25">
      <c r="A24" s="86" t="s">
        <v>31</v>
      </c>
      <c r="B24" s="86" t="s">
        <v>116</v>
      </c>
      <c r="C24" s="95">
        <v>2.06</v>
      </c>
      <c r="D24" s="87">
        <v>78562.56</v>
      </c>
      <c r="E24" s="87">
        <v>79620.74</v>
      </c>
      <c r="F24" s="87">
        <f>F41</f>
        <v>250364.8574</v>
      </c>
      <c r="G24" s="77">
        <f t="shared" si="1"/>
        <v>-1058.1800000000076</v>
      </c>
      <c r="H24" s="88"/>
      <c r="I24" s="88"/>
      <c r="J24" s="88"/>
      <c r="K24" s="88"/>
      <c r="L24" s="88"/>
    </row>
    <row r="25" spans="1:12" ht="14.25">
      <c r="A25" s="41" t="s">
        <v>33</v>
      </c>
      <c r="B25" s="41" t="s">
        <v>163</v>
      </c>
      <c r="C25" s="97">
        <v>12.54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  <c r="L25" s="98"/>
    </row>
    <row r="26" spans="1:12" ht="14.25">
      <c r="A26" s="41" t="s">
        <v>35</v>
      </c>
      <c r="B26" s="41" t="s">
        <v>36</v>
      </c>
      <c r="C26" s="97"/>
      <c r="D26" s="77">
        <f>SUM(D27:D30)</f>
        <v>1951119.52</v>
      </c>
      <c r="E26" s="77">
        <f>SUM(E27:E30)</f>
        <v>1973238.52</v>
      </c>
      <c r="F26" s="77">
        <f>SUM(F27:F30)</f>
        <v>1951119.52</v>
      </c>
      <c r="G26" s="77">
        <f t="shared" si="1"/>
        <v>-22119</v>
      </c>
      <c r="H26" s="98"/>
      <c r="I26" s="98"/>
      <c r="J26" s="98"/>
      <c r="K26" s="98"/>
      <c r="L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29867.76</v>
      </c>
      <c r="E27" s="84">
        <v>30171.16</v>
      </c>
      <c r="F27" s="84">
        <f>D27</f>
        <v>29867.76</v>
      </c>
      <c r="G27" s="84">
        <f t="shared" si="1"/>
        <v>-303.40000000000146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255658.3</v>
      </c>
      <c r="E28" s="84">
        <v>265359.7</v>
      </c>
      <c r="F28" s="84">
        <f>D28</f>
        <v>255658.3</v>
      </c>
      <c r="G28" s="84">
        <f t="shared" si="1"/>
        <v>-9701.400000000023</v>
      </c>
    </row>
    <row r="29" spans="1:7" ht="15">
      <c r="A29" s="34" t="s">
        <v>42</v>
      </c>
      <c r="B29" s="34" t="s">
        <v>421</v>
      </c>
      <c r="C29" s="290" t="s">
        <v>408</v>
      </c>
      <c r="D29" s="213">
        <v>438140.2</v>
      </c>
      <c r="E29" s="213">
        <v>444390.47</v>
      </c>
      <c r="F29" s="84">
        <f>D29</f>
        <v>438140.2</v>
      </c>
      <c r="G29" s="84">
        <f t="shared" si="1"/>
        <v>-6250.26999999996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1227453.26</v>
      </c>
      <c r="E30" s="84">
        <v>1233317.19</v>
      </c>
      <c r="F30" s="84">
        <f>D30</f>
        <v>1227453.26</v>
      </c>
      <c r="G30" s="84">
        <f t="shared" si="1"/>
        <v>-5863.929999999935</v>
      </c>
    </row>
    <row r="31" spans="1:10" s="102" customFormat="1" ht="16.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  <c r="J31" s="101"/>
    </row>
    <row r="32" spans="1:10" s="67" customFormat="1" ht="15.75" thickBot="1">
      <c r="A32" s="391" t="s">
        <v>410</v>
      </c>
      <c r="B32" s="392"/>
      <c r="C32" s="392"/>
      <c r="D32" s="65">
        <v>574086.03</v>
      </c>
      <c r="E32" s="66"/>
      <c r="F32" s="66"/>
      <c r="G32" s="66"/>
      <c r="H32" s="62"/>
      <c r="I32" s="62"/>
      <c r="J32" s="62"/>
    </row>
    <row r="33" spans="1:10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  <c r="J33" s="62"/>
    </row>
    <row r="34" spans="1:12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-62605.11230000001</v>
      </c>
      <c r="H34" s="62"/>
      <c r="I34" s="62"/>
      <c r="J34" s="62"/>
      <c r="L34" s="146"/>
    </row>
    <row r="35" spans="1:12" s="67" customFormat="1" ht="15">
      <c r="A35" s="523" t="s">
        <v>145</v>
      </c>
      <c r="B35" s="523"/>
      <c r="C35" s="68"/>
      <c r="D35" s="40"/>
      <c r="E35" s="66"/>
      <c r="F35" s="66"/>
      <c r="G35" s="40"/>
      <c r="H35" s="62"/>
      <c r="I35" s="62"/>
      <c r="J35" s="62"/>
      <c r="L35" s="146"/>
    </row>
    <row r="36" spans="1:12" s="67" customFormat="1" ht="15">
      <c r="A36" s="492" t="s">
        <v>146</v>
      </c>
      <c r="B36" s="493"/>
      <c r="C36" s="44" t="s">
        <v>147</v>
      </c>
      <c r="D36" s="44" t="s">
        <v>148</v>
      </c>
      <c r="E36" s="45" t="s">
        <v>149</v>
      </c>
      <c r="F36" s="42" t="s">
        <v>150</v>
      </c>
      <c r="G36" s="45" t="s">
        <v>151</v>
      </c>
      <c r="H36" s="62"/>
      <c r="I36" s="62"/>
      <c r="J36" s="62"/>
      <c r="L36" s="146"/>
    </row>
    <row r="37" spans="1:12" s="67" customFormat="1" ht="15">
      <c r="A37" s="494"/>
      <c r="B37" s="495"/>
      <c r="C37" s="298">
        <f>49.8+98.1+36</f>
        <v>183.89999999999998</v>
      </c>
      <c r="D37" s="154">
        <f>E37/12/C37</f>
        <v>13.915289106398408</v>
      </c>
      <c r="E37" s="238">
        <f>24696.84+6011.42</f>
        <v>30708.260000000002</v>
      </c>
      <c r="F37" s="238">
        <f>22614.88+2995.58+9197.01</f>
        <v>34807.47</v>
      </c>
      <c r="G37" s="154">
        <f>E37-F37</f>
        <v>-4099.209999999999</v>
      </c>
      <c r="H37" s="62"/>
      <c r="I37" s="62"/>
      <c r="J37" s="62"/>
      <c r="L37" s="146"/>
    </row>
    <row r="38" spans="1:12" ht="31.5" customHeight="1">
      <c r="A38" s="377" t="s">
        <v>182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</row>
    <row r="40" spans="1:13" s="74" customFormat="1" ht="37.5" customHeight="1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401" t="s">
        <v>46</v>
      </c>
      <c r="G40" s="420"/>
      <c r="H40" s="248"/>
      <c r="I40" s="248"/>
      <c r="J40" s="249"/>
      <c r="M40" s="108"/>
    </row>
    <row r="41" spans="1:13" s="115" customFormat="1" ht="15" customHeight="1">
      <c r="A41" s="109" t="s">
        <v>47</v>
      </c>
      <c r="B41" s="403" t="s">
        <v>111</v>
      </c>
      <c r="C41" s="425"/>
      <c r="D41" s="111"/>
      <c r="E41" s="111"/>
      <c r="F41" s="430">
        <f>SUM(F42:G51)</f>
        <v>250364.8574</v>
      </c>
      <c r="G41" s="419"/>
      <c r="H41" s="250"/>
      <c r="I41" s="250"/>
      <c r="J41" s="251"/>
      <c r="M41" s="116"/>
    </row>
    <row r="42" spans="1:13" ht="15">
      <c r="A42" s="34" t="s">
        <v>16</v>
      </c>
      <c r="B42" s="413" t="s">
        <v>599</v>
      </c>
      <c r="C42" s="442"/>
      <c r="D42" s="349" t="s">
        <v>229</v>
      </c>
      <c r="E42" s="354">
        <v>0.12</v>
      </c>
      <c r="F42" s="431">
        <v>20940.62</v>
      </c>
      <c r="G42" s="431"/>
      <c r="H42" s="252"/>
      <c r="I42" s="252"/>
      <c r="J42" s="253"/>
      <c r="M42" s="120"/>
    </row>
    <row r="43" spans="1:13" ht="15">
      <c r="A43" s="34" t="s">
        <v>18</v>
      </c>
      <c r="B43" s="413" t="s">
        <v>600</v>
      </c>
      <c r="C43" s="442"/>
      <c r="D43" s="349" t="s">
        <v>166</v>
      </c>
      <c r="E43" s="354">
        <v>5</v>
      </c>
      <c r="F43" s="431">
        <v>5351.03</v>
      </c>
      <c r="G43" s="431"/>
      <c r="H43" s="40"/>
      <c r="I43" s="40"/>
      <c r="J43" s="40"/>
      <c r="M43" s="120"/>
    </row>
    <row r="44" spans="1:13" ht="15">
      <c r="A44" s="34" t="s">
        <v>20</v>
      </c>
      <c r="B44" s="413" t="s">
        <v>268</v>
      </c>
      <c r="C44" s="442"/>
      <c r="D44" s="349" t="s">
        <v>229</v>
      </c>
      <c r="E44" s="354">
        <v>0.08</v>
      </c>
      <c r="F44" s="431">
        <v>6170.65</v>
      </c>
      <c r="G44" s="431"/>
      <c r="H44" s="40"/>
      <c r="I44" s="40"/>
      <c r="J44" s="40"/>
      <c r="M44" s="120"/>
    </row>
    <row r="45" spans="1:13" ht="15">
      <c r="A45" s="34" t="s">
        <v>22</v>
      </c>
      <c r="B45" s="413" t="s">
        <v>268</v>
      </c>
      <c r="C45" s="442"/>
      <c r="D45" s="349" t="s">
        <v>229</v>
      </c>
      <c r="E45" s="354">
        <v>0.01</v>
      </c>
      <c r="F45" s="431">
        <v>2306.35</v>
      </c>
      <c r="G45" s="431"/>
      <c r="H45" s="40"/>
      <c r="I45" s="40"/>
      <c r="J45" s="40"/>
      <c r="M45" s="120"/>
    </row>
    <row r="46" spans="1:13" ht="15">
      <c r="A46" s="34" t="s">
        <v>24</v>
      </c>
      <c r="B46" s="382" t="s">
        <v>170</v>
      </c>
      <c r="C46" s="432"/>
      <c r="D46" s="349"/>
      <c r="E46" s="354"/>
      <c r="F46" s="429">
        <v>8300</v>
      </c>
      <c r="G46" s="429"/>
      <c r="H46" s="40"/>
      <c r="I46" s="40"/>
      <c r="J46" s="40"/>
      <c r="M46" s="120"/>
    </row>
    <row r="47" spans="1:13" ht="15">
      <c r="A47" s="34" t="s">
        <v>103</v>
      </c>
      <c r="B47" s="382" t="s">
        <v>754</v>
      </c>
      <c r="C47" s="432"/>
      <c r="D47" s="349"/>
      <c r="E47" s="354"/>
      <c r="F47" s="429">
        <v>64000</v>
      </c>
      <c r="G47" s="429"/>
      <c r="H47" s="40"/>
      <c r="I47" s="40"/>
      <c r="J47" s="40"/>
      <c r="M47" s="120"/>
    </row>
    <row r="48" spans="1:13" ht="15">
      <c r="A48" s="34" t="s">
        <v>104</v>
      </c>
      <c r="B48" s="382" t="s">
        <v>755</v>
      </c>
      <c r="C48" s="432"/>
      <c r="D48" s="349"/>
      <c r="E48" s="354"/>
      <c r="F48" s="429">
        <v>57000</v>
      </c>
      <c r="G48" s="429"/>
      <c r="H48" s="40"/>
      <c r="I48" s="40"/>
      <c r="J48" s="40"/>
      <c r="M48" s="120"/>
    </row>
    <row r="49" spans="1:13" ht="15">
      <c r="A49" s="34" t="s">
        <v>117</v>
      </c>
      <c r="B49" s="382" t="s">
        <v>752</v>
      </c>
      <c r="C49" s="432"/>
      <c r="D49" s="349"/>
      <c r="E49" s="354"/>
      <c r="F49" s="429">
        <v>85500</v>
      </c>
      <c r="G49" s="429"/>
      <c r="H49" s="40"/>
      <c r="I49" s="40"/>
      <c r="J49" s="40"/>
      <c r="M49" s="120"/>
    </row>
    <row r="50" spans="1:13" ht="15">
      <c r="A50" s="34" t="s">
        <v>118</v>
      </c>
      <c r="B50" s="382"/>
      <c r="C50" s="432"/>
      <c r="D50" s="349"/>
      <c r="E50" s="354"/>
      <c r="F50" s="429"/>
      <c r="G50" s="429"/>
      <c r="H50" s="40"/>
      <c r="I50" s="40"/>
      <c r="J50" s="40"/>
      <c r="M50" s="120"/>
    </row>
    <row r="51" spans="1:12" s="67" customFormat="1" ht="15">
      <c r="A51" s="34" t="s">
        <v>119</v>
      </c>
      <c r="B51" s="440" t="s">
        <v>191</v>
      </c>
      <c r="C51" s="441"/>
      <c r="D51" s="124"/>
      <c r="E51" s="124"/>
      <c r="F51" s="429">
        <f>E24*1%</f>
        <v>796.2074000000001</v>
      </c>
      <c r="G51" s="429"/>
      <c r="H51" s="59"/>
      <c r="I51" s="59"/>
      <c r="J51" s="59"/>
      <c r="K51" s="59"/>
      <c r="L51" s="59"/>
    </row>
    <row r="52" s="59" customFormat="1" ht="9" customHeight="1"/>
    <row r="53" spans="1:12" s="59" customFormat="1" ht="15">
      <c r="A53" s="67" t="s">
        <v>55</v>
      </c>
      <c r="B53" s="67"/>
      <c r="C53" s="126" t="s">
        <v>49</v>
      </c>
      <c r="D53" s="67"/>
      <c r="E53" s="67"/>
      <c r="F53" s="67" t="s">
        <v>90</v>
      </c>
      <c r="G53" s="67"/>
      <c r="H53" s="67"/>
      <c r="I53" s="67"/>
      <c r="J53" s="67"/>
      <c r="K53" s="67"/>
      <c r="L53" s="67"/>
    </row>
    <row r="54" spans="1:7" s="59" customFormat="1" ht="15">
      <c r="A54" s="67"/>
      <c r="B54" s="67"/>
      <c r="C54" s="126"/>
      <c r="D54" s="67"/>
      <c r="E54" s="67"/>
      <c r="F54" s="127" t="s">
        <v>438</v>
      </c>
      <c r="G54" s="67"/>
    </row>
    <row r="55" spans="1:11" s="59" customFormat="1" ht="15">
      <c r="A55" s="67" t="s">
        <v>50</v>
      </c>
      <c r="B55" s="67"/>
      <c r="C55" s="126"/>
      <c r="D55" s="67"/>
      <c r="E55" s="67"/>
      <c r="F55" s="67"/>
      <c r="G55" s="67"/>
      <c r="H55" s="157"/>
      <c r="I55" s="157"/>
      <c r="J55" s="157"/>
      <c r="K55" s="157"/>
    </row>
    <row r="56" spans="1:12" ht="15">
      <c r="A56" s="67"/>
      <c r="B56" s="67"/>
      <c r="C56" s="128" t="s">
        <v>51</v>
      </c>
      <c r="D56" s="67"/>
      <c r="E56" s="129"/>
      <c r="F56" s="129"/>
      <c r="G56" s="129"/>
      <c r="H56" s="59"/>
      <c r="I56" s="59"/>
      <c r="J56" s="59"/>
      <c r="K56" s="59"/>
      <c r="L56" s="59"/>
    </row>
    <row r="57" spans="1:12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</sheetData>
  <sheetProtection/>
  <mergeCells count="36">
    <mergeCell ref="B46:C46"/>
    <mergeCell ref="B47:C47"/>
    <mergeCell ref="B48:C48"/>
    <mergeCell ref="B49:C49"/>
    <mergeCell ref="B50:C50"/>
    <mergeCell ref="F46:G46"/>
    <mergeCell ref="F47:G47"/>
    <mergeCell ref="F48:G48"/>
    <mergeCell ref="F49:G49"/>
    <mergeCell ref="F50:G50"/>
    <mergeCell ref="B51:C51"/>
    <mergeCell ref="F51:G51"/>
    <mergeCell ref="B41:C41"/>
    <mergeCell ref="F41:G41"/>
    <mergeCell ref="B42:C42"/>
    <mergeCell ref="F42:G42"/>
    <mergeCell ref="B44:C44"/>
    <mergeCell ref="B43:C43"/>
    <mergeCell ref="F43:G43"/>
    <mergeCell ref="F44:G44"/>
    <mergeCell ref="A38:L38"/>
    <mergeCell ref="B40:C40"/>
    <mergeCell ref="F40:G40"/>
    <mergeCell ref="A31:F31"/>
    <mergeCell ref="A35:B35"/>
    <mergeCell ref="A36:B37"/>
    <mergeCell ref="B45:C45"/>
    <mergeCell ref="F45:G45"/>
    <mergeCell ref="A1:L1"/>
    <mergeCell ref="A2:L2"/>
    <mergeCell ref="A3:L3"/>
    <mergeCell ref="A5:L5"/>
    <mergeCell ref="A9:L9"/>
    <mergeCell ref="A10:L10"/>
    <mergeCell ref="A11:L11"/>
    <mergeCell ref="A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zoomScalePageLayoutView="0" workbookViewId="0" topLeftCell="A30">
      <selection activeCell="F44" sqref="F44:G4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246" t="s">
        <v>217</v>
      </c>
      <c r="G7" s="255"/>
      <c r="H7" s="60"/>
    </row>
    <row r="8" spans="1:10" s="59" customFormat="1" ht="12.75">
      <c r="A8" s="59" t="s">
        <v>3</v>
      </c>
      <c r="F8" s="304" t="s">
        <v>498</v>
      </c>
      <c r="G8" s="255"/>
      <c r="H8" s="60"/>
      <c r="I8" s="61">
        <v>104</v>
      </c>
      <c r="J8" s="61">
        <f>3192.6+104</f>
        <v>3296.6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'[1]Хрустальная 62'!$G$34</f>
        <v>-315889.64690000005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409191.24</v>
      </c>
      <c r="E16" s="76">
        <v>413386.82</v>
      </c>
      <c r="F16" s="76">
        <f aca="true" t="shared" si="0" ref="F16:F23">D16</f>
        <v>409191.24</v>
      </c>
      <c r="G16" s="77">
        <f>D16-E16</f>
        <v>-4195.580000000016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136924.72827852998</v>
      </c>
      <c r="E17" s="83">
        <f>E16*I17</f>
        <v>138328.665106383</v>
      </c>
      <c r="F17" s="83">
        <f t="shared" si="0"/>
        <v>136924.72827852998</v>
      </c>
      <c r="G17" s="84">
        <f>D17-E17</f>
        <v>-1403.936827853031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66879.41930367504</v>
      </c>
      <c r="E18" s="83">
        <f>E16*I18</f>
        <v>67565.15723404255</v>
      </c>
      <c r="F18" s="83">
        <f t="shared" si="0"/>
        <v>66879.41930367504</v>
      </c>
      <c r="G18" s="84">
        <f>D18-E18</f>
        <v>-685.7379303675116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85083.28491295938</v>
      </c>
      <c r="E19" s="83">
        <f>E16*I19</f>
        <v>85955.67340425533</v>
      </c>
      <c r="F19" s="83">
        <f t="shared" si="0"/>
        <v>85083.28491295938</v>
      </c>
      <c r="G19" s="84">
        <f>D19-E19</f>
        <v>-872.3884912959475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120303.8075048356</v>
      </c>
      <c r="E20" s="83">
        <f>E16*I20</f>
        <v>121537.32425531915</v>
      </c>
      <c r="F20" s="83">
        <f t="shared" si="0"/>
        <v>120303.8075048356</v>
      </c>
      <c r="G20" s="84">
        <f>D20-E20</f>
        <v>-1233.5167504835554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81492.72</v>
      </c>
      <c r="E24" s="87">
        <v>84047.34</v>
      </c>
      <c r="F24" s="87">
        <f>F38</f>
        <v>902827.8134</v>
      </c>
      <c r="G24" s="77">
        <f t="shared" si="1"/>
        <v>-2554.6199999999953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12.54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2394365.9400000004</v>
      </c>
      <c r="E26" s="77">
        <f>SUM(E27:E30)</f>
        <v>2242886.7800000003</v>
      </c>
      <c r="F26" s="77">
        <f>SUM(F27:F30)</f>
        <v>2394365.9400000004</v>
      </c>
      <c r="G26" s="77">
        <f t="shared" si="1"/>
        <v>151479.16000000015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32020.12</v>
      </c>
      <c r="E27" s="84">
        <v>32396.92</v>
      </c>
      <c r="F27" s="84">
        <f>D27</f>
        <v>32020.12</v>
      </c>
      <c r="G27" s="84">
        <f t="shared" si="1"/>
        <v>-376.7999999999993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418469.88</v>
      </c>
      <c r="E28" s="84">
        <v>374454.55</v>
      </c>
      <c r="F28" s="84">
        <f>D28</f>
        <v>418469.88</v>
      </c>
      <c r="G28" s="84">
        <f t="shared" si="1"/>
        <v>44015.330000000016</v>
      </c>
    </row>
    <row r="29" spans="1:7" ht="15">
      <c r="A29" s="34" t="s">
        <v>42</v>
      </c>
      <c r="B29" s="34" t="s">
        <v>421</v>
      </c>
      <c r="C29" s="290" t="s">
        <v>408</v>
      </c>
      <c r="D29" s="213">
        <v>702895.66</v>
      </c>
      <c r="E29" s="213">
        <v>616796.76</v>
      </c>
      <c r="F29" s="84">
        <f>D29</f>
        <v>702895.66</v>
      </c>
      <c r="G29" s="84">
        <f t="shared" si="1"/>
        <v>86098.90000000002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1240980.28</v>
      </c>
      <c r="E30" s="84">
        <v>1219238.55</v>
      </c>
      <c r="F30" s="84">
        <f>D30</f>
        <v>1240980.28</v>
      </c>
      <c r="G30" s="84">
        <f t="shared" si="1"/>
        <v>21741.72999999998</v>
      </c>
    </row>
    <row r="31" spans="1:9" s="102" customFormat="1" ht="16.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1053160.47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-1134670.1203</v>
      </c>
      <c r="H34" s="62"/>
      <c r="I34" s="62"/>
      <c r="K34" s="146"/>
    </row>
    <row r="35" spans="1:11" ht="31.5" customHeight="1">
      <c r="A35" s="377" t="s">
        <v>182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SUM(F39:G44)</f>
        <v>902827.8134</v>
      </c>
      <c r="G38" s="419"/>
      <c r="H38" s="250"/>
      <c r="I38" s="251"/>
      <c r="L38" s="116"/>
    </row>
    <row r="39" spans="1:12" ht="15">
      <c r="A39" s="34" t="s">
        <v>16</v>
      </c>
      <c r="B39" s="413" t="s">
        <v>598</v>
      </c>
      <c r="C39" s="423"/>
      <c r="D39" s="349" t="s">
        <v>169</v>
      </c>
      <c r="E39" s="349">
        <v>190</v>
      </c>
      <c r="F39" s="451">
        <v>850394.69</v>
      </c>
      <c r="G39" s="452"/>
      <c r="H39" s="252"/>
      <c r="I39" s="253"/>
      <c r="L39" s="120"/>
    </row>
    <row r="40" spans="1:12" ht="15">
      <c r="A40" s="34" t="s">
        <v>18</v>
      </c>
      <c r="B40" s="413" t="s">
        <v>173</v>
      </c>
      <c r="C40" s="423"/>
      <c r="D40" s="349" t="s">
        <v>169</v>
      </c>
      <c r="E40" s="349">
        <v>600</v>
      </c>
      <c r="F40" s="451">
        <v>5824.8</v>
      </c>
      <c r="G40" s="452"/>
      <c r="H40" s="40"/>
      <c r="I40" s="40"/>
      <c r="L40" s="120"/>
    </row>
    <row r="41" spans="1:12" ht="15" customHeight="1">
      <c r="A41" s="34" t="s">
        <v>20</v>
      </c>
      <c r="B41" s="382" t="s">
        <v>170</v>
      </c>
      <c r="C41" s="384"/>
      <c r="D41" s="119"/>
      <c r="E41" s="119"/>
      <c r="F41" s="446">
        <v>32815</v>
      </c>
      <c r="G41" s="447"/>
      <c r="H41" s="40"/>
      <c r="I41" s="40"/>
      <c r="L41" s="120"/>
    </row>
    <row r="42" spans="1:12" ht="15">
      <c r="A42" s="34" t="s">
        <v>22</v>
      </c>
      <c r="B42" s="382" t="s">
        <v>756</v>
      </c>
      <c r="C42" s="384"/>
      <c r="D42" s="119"/>
      <c r="E42" s="119"/>
      <c r="F42" s="446">
        <v>8500</v>
      </c>
      <c r="G42" s="447"/>
      <c r="H42" s="40"/>
      <c r="I42" s="40"/>
      <c r="L42" s="120"/>
    </row>
    <row r="43" spans="1:12" ht="15">
      <c r="A43" s="34" t="s">
        <v>24</v>
      </c>
      <c r="B43" s="382" t="s">
        <v>792</v>
      </c>
      <c r="C43" s="384"/>
      <c r="D43" s="119"/>
      <c r="E43" s="119"/>
      <c r="F43" s="446">
        <v>4452.85</v>
      </c>
      <c r="G43" s="447"/>
      <c r="H43" s="40"/>
      <c r="I43" s="40"/>
      <c r="L43" s="120"/>
    </row>
    <row r="44" spans="1:11" s="67" customFormat="1" ht="15">
      <c r="A44" s="34" t="s">
        <v>24</v>
      </c>
      <c r="B44" s="440" t="s">
        <v>191</v>
      </c>
      <c r="C44" s="441"/>
      <c r="D44" s="124"/>
      <c r="E44" s="124"/>
      <c r="F44" s="429">
        <f>E24*1%</f>
        <v>840.4734</v>
      </c>
      <c r="G44" s="429"/>
      <c r="H44" s="59"/>
      <c r="I44" s="59"/>
      <c r="J44" s="59"/>
      <c r="K44" s="59"/>
    </row>
    <row r="45" s="59" customFormat="1" ht="9" customHeight="1"/>
    <row r="46" spans="1:11" s="59" customFormat="1" ht="15">
      <c r="A46" s="67" t="s">
        <v>55</v>
      </c>
      <c r="B46" s="67"/>
      <c r="C46" s="126" t="s">
        <v>49</v>
      </c>
      <c r="D46" s="67"/>
      <c r="E46" s="67"/>
      <c r="F46" s="67" t="s">
        <v>90</v>
      </c>
      <c r="G46" s="67"/>
      <c r="H46" s="67"/>
      <c r="I46" s="67"/>
      <c r="J46" s="67"/>
      <c r="K46" s="67"/>
    </row>
    <row r="47" spans="1:7" s="59" customFormat="1" ht="15">
      <c r="A47" s="67"/>
      <c r="B47" s="67"/>
      <c r="C47" s="126"/>
      <c r="D47" s="67"/>
      <c r="E47" s="67"/>
      <c r="F47" s="127" t="s">
        <v>438</v>
      </c>
      <c r="G47" s="67"/>
    </row>
    <row r="48" spans="1:10" s="59" customFormat="1" ht="15">
      <c r="A48" s="67" t="s">
        <v>50</v>
      </c>
      <c r="B48" s="67"/>
      <c r="C48" s="126"/>
      <c r="D48" s="67"/>
      <c r="E48" s="67"/>
      <c r="F48" s="67"/>
      <c r="G48" s="67"/>
      <c r="H48" s="157"/>
      <c r="I48" s="157"/>
      <c r="J48" s="157"/>
    </row>
    <row r="49" spans="1:11" ht="15">
      <c r="A49" s="67"/>
      <c r="B49" s="67"/>
      <c r="C49" s="128" t="s">
        <v>51</v>
      </c>
      <c r="D49" s="67"/>
      <c r="E49" s="129"/>
      <c r="F49" s="129"/>
      <c r="G49" s="129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</sheetData>
  <sheetProtection/>
  <mergeCells count="26">
    <mergeCell ref="B44:C44"/>
    <mergeCell ref="F44:G44"/>
    <mergeCell ref="B40:C40"/>
    <mergeCell ref="F40:G40"/>
    <mergeCell ref="B43:C43"/>
    <mergeCell ref="F43:G43"/>
    <mergeCell ref="B42:C42"/>
    <mergeCell ref="F42:G42"/>
    <mergeCell ref="A32:C32"/>
    <mergeCell ref="A35:K35"/>
    <mergeCell ref="B37:C37"/>
    <mergeCell ref="F37:G37"/>
    <mergeCell ref="B41:C41"/>
    <mergeCell ref="F41:G41"/>
    <mergeCell ref="B38:C38"/>
    <mergeCell ref="F38:G38"/>
    <mergeCell ref="B39:C39"/>
    <mergeCell ref="F39:G39"/>
    <mergeCell ref="A31:F31"/>
    <mergeCell ref="A11:K11"/>
    <mergeCell ref="A1:K1"/>
    <mergeCell ref="A2:K2"/>
    <mergeCell ref="A3:K3"/>
    <mergeCell ref="A5:K5"/>
    <mergeCell ref="A9:K9"/>
    <mergeCell ref="A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5"/>
  <sheetViews>
    <sheetView zoomScalePageLayoutView="0" workbookViewId="0" topLeftCell="A39">
      <selection activeCell="F46" sqref="F46:G46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11.421875" style="57" bestFit="1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212</v>
      </c>
      <c r="H7" s="60"/>
    </row>
    <row r="8" spans="1:10" s="59" customFormat="1" ht="12.75">
      <c r="A8" s="59" t="s">
        <v>3</v>
      </c>
      <c r="F8" s="305" t="s">
        <v>499</v>
      </c>
      <c r="H8" s="277">
        <f>107.5+115.3</f>
        <v>222.8</v>
      </c>
      <c r="I8" s="59">
        <f>4425.28</f>
        <v>4425.28</v>
      </c>
      <c r="J8" s="59">
        <f>H8+I8</f>
        <v>4648.08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'[1]Хрустальная 66'!$G$34</f>
        <v>1381.0474999999933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567532.52</v>
      </c>
      <c r="E16" s="76">
        <v>534164.39</v>
      </c>
      <c r="F16" s="76">
        <f aca="true" t="shared" si="0" ref="F16:F23">D16</f>
        <v>567532.52</v>
      </c>
      <c r="G16" s="77">
        <f>D16-E16</f>
        <v>33368.130000000005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189909.33454545456</v>
      </c>
      <c r="E17" s="83">
        <f>E16*I17</f>
        <v>178743.5966537718</v>
      </c>
      <c r="F17" s="83">
        <f t="shared" si="0"/>
        <v>189909.33454545456</v>
      </c>
      <c r="G17" s="84">
        <f>D17-E17</f>
        <v>11165.737891682773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92759.18363636362</v>
      </c>
      <c r="E18" s="83">
        <f>E16*I18</f>
        <v>87305.3983655706</v>
      </c>
      <c r="F18" s="83">
        <f t="shared" si="0"/>
        <v>92759.18363636362</v>
      </c>
      <c r="G18" s="84">
        <f>D18-E18</f>
        <v>5453.785270793029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118007.24545454547</v>
      </c>
      <c r="E19" s="83">
        <f>E16*I19</f>
        <v>111068.99792069633</v>
      </c>
      <c r="F19" s="83">
        <f t="shared" si="0"/>
        <v>118007.24545454547</v>
      </c>
      <c r="G19" s="84">
        <f>D19-E19</f>
        <v>6938.247533849135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166856.75636363638</v>
      </c>
      <c r="E20" s="83">
        <f>E16*I20</f>
        <v>157046.39705996134</v>
      </c>
      <c r="F20" s="83">
        <f t="shared" si="0"/>
        <v>166856.75636363638</v>
      </c>
      <c r="G20" s="84">
        <f>D20-E20</f>
        <v>9810.359303675039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110325.38</v>
      </c>
      <c r="E24" s="87">
        <v>106442.25</v>
      </c>
      <c r="F24" s="87">
        <f>F42</f>
        <v>91665.8425</v>
      </c>
      <c r="G24" s="77">
        <f t="shared" si="1"/>
        <v>3883.1300000000047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1902.11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1865763.5699999998</v>
      </c>
      <c r="E26" s="77">
        <f>SUM(E27:E30)</f>
        <v>1806872.9100000001</v>
      </c>
      <c r="F26" s="77">
        <f>SUM(F27:F30)</f>
        <v>1865763.5699999998</v>
      </c>
      <c r="G26" s="77">
        <f t="shared" si="1"/>
        <v>58890.65999999968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14498.91</v>
      </c>
      <c r="E27" s="84">
        <v>13961.2</v>
      </c>
      <c r="F27" s="84">
        <f>D27</f>
        <v>14498.91</v>
      </c>
      <c r="G27" s="84">
        <f t="shared" si="1"/>
        <v>537.7099999999991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417598.31</v>
      </c>
      <c r="E28" s="84">
        <v>386818.89</v>
      </c>
      <c r="F28" s="84">
        <f>D28</f>
        <v>417598.31</v>
      </c>
      <c r="G28" s="84">
        <f t="shared" si="1"/>
        <v>30779.419999999984</v>
      </c>
    </row>
    <row r="29" spans="1:7" ht="24.75" customHeight="1">
      <c r="A29" s="34" t="s">
        <v>42</v>
      </c>
      <c r="B29" s="34" t="s">
        <v>421</v>
      </c>
      <c r="C29" s="290" t="s">
        <v>408</v>
      </c>
      <c r="D29" s="213">
        <v>29414.66</v>
      </c>
      <c r="E29" s="213">
        <v>28933.03</v>
      </c>
      <c r="F29" s="84">
        <f>D29</f>
        <v>29414.66</v>
      </c>
      <c r="G29" s="84">
        <f t="shared" si="1"/>
        <v>481.630000000001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1404251.69</v>
      </c>
      <c r="E30" s="84">
        <v>1377159.79</v>
      </c>
      <c r="F30" s="84">
        <f>D30</f>
        <v>1404251.69</v>
      </c>
      <c r="G30" s="84">
        <f t="shared" si="1"/>
        <v>27091.899999999907</v>
      </c>
    </row>
    <row r="31" spans="1:9" s="102" customFormat="1" ht="7.5" customHeigh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102" customFormat="1" ht="17.2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981211.97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1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G13+E24-F24</f>
        <v>16157.454999999987</v>
      </c>
      <c r="H35" s="62"/>
      <c r="I35" s="62"/>
      <c r="K35" s="146"/>
    </row>
    <row r="36" spans="1:11" s="67" customFormat="1" ht="15">
      <c r="A36" s="523" t="s">
        <v>145</v>
      </c>
      <c r="B36" s="523"/>
      <c r="C36" s="68"/>
      <c r="D36" s="40"/>
      <c r="E36" s="66"/>
      <c r="F36" s="66"/>
      <c r="G36" s="40"/>
      <c r="H36" s="62"/>
      <c r="I36" s="62"/>
      <c r="K36" s="146"/>
    </row>
    <row r="37" spans="1:11" s="67" customFormat="1" ht="15">
      <c r="A37" s="492" t="s">
        <v>146</v>
      </c>
      <c r="B37" s="493"/>
      <c r="C37" s="44" t="s">
        <v>147</v>
      </c>
      <c r="D37" s="44" t="s">
        <v>148</v>
      </c>
      <c r="E37" s="45" t="s">
        <v>149</v>
      </c>
      <c r="F37" s="42" t="s">
        <v>150</v>
      </c>
      <c r="G37" s="45" t="s">
        <v>151</v>
      </c>
      <c r="H37" s="62"/>
      <c r="I37" s="62"/>
      <c r="K37" s="146"/>
    </row>
    <row r="38" spans="1:11" s="67" customFormat="1" ht="15">
      <c r="A38" s="494"/>
      <c r="B38" s="495"/>
      <c r="C38" s="298">
        <f>115.3+107.5</f>
        <v>222.8</v>
      </c>
      <c r="D38" s="154">
        <f>E38/12/C38</f>
        <v>13.701533512866545</v>
      </c>
      <c r="E38" s="238">
        <f>18957.41+17675.01</f>
        <v>36632.42</v>
      </c>
      <c r="F38" s="238">
        <f>17061.67+1548.22+15901.71</f>
        <v>34511.6</v>
      </c>
      <c r="G38" s="154">
        <f>E38-F38</f>
        <v>2120.8199999999997</v>
      </c>
      <c r="H38" s="62"/>
      <c r="I38" s="62"/>
      <c r="K38" s="146"/>
    </row>
    <row r="39" spans="1:11" ht="31.5" customHeight="1">
      <c r="A39" s="377" t="s">
        <v>182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</row>
    <row r="41" spans="1:12" s="74" customFormat="1" ht="37.5" customHeight="1">
      <c r="A41" s="105" t="s">
        <v>11</v>
      </c>
      <c r="B41" s="401" t="s">
        <v>45</v>
      </c>
      <c r="C41" s="420"/>
      <c r="D41" s="105" t="s">
        <v>165</v>
      </c>
      <c r="E41" s="105" t="s">
        <v>164</v>
      </c>
      <c r="F41" s="401" t="s">
        <v>46</v>
      </c>
      <c r="G41" s="420"/>
      <c r="H41" s="248"/>
      <c r="I41" s="249"/>
      <c r="L41" s="108"/>
    </row>
    <row r="42" spans="1:12" s="115" customFormat="1" ht="15" customHeight="1">
      <c r="A42" s="109" t="s">
        <v>47</v>
      </c>
      <c r="B42" s="403" t="s">
        <v>111</v>
      </c>
      <c r="C42" s="425"/>
      <c r="D42" s="111"/>
      <c r="E42" s="111"/>
      <c r="F42" s="430">
        <f>SUM(F43:G49)</f>
        <v>91665.8425</v>
      </c>
      <c r="G42" s="419"/>
      <c r="H42" s="250"/>
      <c r="I42" s="251"/>
      <c r="L42" s="116"/>
    </row>
    <row r="43" spans="1:12" ht="15">
      <c r="A43" s="34" t="s">
        <v>16</v>
      </c>
      <c r="B43" s="413" t="s">
        <v>573</v>
      </c>
      <c r="C43" s="423"/>
      <c r="D43" s="349" t="s">
        <v>229</v>
      </c>
      <c r="E43" s="349">
        <v>0.01</v>
      </c>
      <c r="F43" s="451">
        <v>1216.73</v>
      </c>
      <c r="G43" s="452"/>
      <c r="H43" s="40"/>
      <c r="I43" s="40"/>
      <c r="L43" s="120"/>
    </row>
    <row r="44" spans="1:12" ht="15">
      <c r="A44" s="34" t="s">
        <v>18</v>
      </c>
      <c r="B44" s="413" t="s">
        <v>386</v>
      </c>
      <c r="C44" s="423"/>
      <c r="D44" s="349" t="s">
        <v>229</v>
      </c>
      <c r="E44" s="349">
        <v>0.01</v>
      </c>
      <c r="F44" s="451">
        <v>12191.83</v>
      </c>
      <c r="G44" s="452"/>
      <c r="H44" s="40"/>
      <c r="I44" s="40"/>
      <c r="L44" s="120"/>
    </row>
    <row r="45" spans="1:12" ht="15">
      <c r="A45" s="34" t="s">
        <v>20</v>
      </c>
      <c r="B45" s="413" t="s">
        <v>173</v>
      </c>
      <c r="C45" s="423"/>
      <c r="D45" s="349" t="s">
        <v>169</v>
      </c>
      <c r="E45" s="349">
        <v>979</v>
      </c>
      <c r="F45" s="451">
        <v>9504.13</v>
      </c>
      <c r="G45" s="452"/>
      <c r="H45" s="40"/>
      <c r="I45" s="40"/>
      <c r="L45" s="120"/>
    </row>
    <row r="46" spans="1:12" ht="15" customHeight="1">
      <c r="A46" s="34" t="s">
        <v>22</v>
      </c>
      <c r="B46" s="413" t="s">
        <v>596</v>
      </c>
      <c r="C46" s="423"/>
      <c r="D46" s="349" t="s">
        <v>166</v>
      </c>
      <c r="E46" s="349">
        <v>1</v>
      </c>
      <c r="F46" s="451">
        <v>1000</v>
      </c>
      <c r="G46" s="452"/>
      <c r="H46" s="40"/>
      <c r="I46" s="40"/>
      <c r="L46" s="120"/>
    </row>
    <row r="47" spans="1:12" ht="15">
      <c r="A47" s="34" t="s">
        <v>24</v>
      </c>
      <c r="B47" s="413" t="s">
        <v>597</v>
      </c>
      <c r="C47" s="442"/>
      <c r="D47" s="349" t="s">
        <v>229</v>
      </c>
      <c r="E47" s="354">
        <v>0.15</v>
      </c>
      <c r="F47" s="431">
        <v>66688.73</v>
      </c>
      <c r="G47" s="431"/>
      <c r="H47" s="40"/>
      <c r="I47" s="40"/>
      <c r="L47" s="120"/>
    </row>
    <row r="48" spans="1:12" ht="15">
      <c r="A48" s="34" t="s">
        <v>103</v>
      </c>
      <c r="B48" s="382"/>
      <c r="C48" s="384"/>
      <c r="D48" s="119"/>
      <c r="E48" s="119"/>
      <c r="F48" s="446"/>
      <c r="G48" s="447"/>
      <c r="H48" s="40"/>
      <c r="I48" s="40"/>
      <c r="L48" s="120"/>
    </row>
    <row r="49" spans="1:11" s="67" customFormat="1" ht="15">
      <c r="A49" s="34" t="s">
        <v>104</v>
      </c>
      <c r="B49" s="440" t="s">
        <v>191</v>
      </c>
      <c r="C49" s="441"/>
      <c r="D49" s="124"/>
      <c r="E49" s="124"/>
      <c r="F49" s="429">
        <f>E24*1%</f>
        <v>1064.4225000000001</v>
      </c>
      <c r="G49" s="429"/>
      <c r="H49" s="59"/>
      <c r="I49" s="59"/>
      <c r="J49" s="59"/>
      <c r="K49" s="59"/>
    </row>
    <row r="50" s="59" customFormat="1" ht="9" customHeight="1"/>
    <row r="51" spans="1:11" s="59" customFormat="1" ht="15">
      <c r="A51" s="67" t="s">
        <v>55</v>
      </c>
      <c r="B51" s="67"/>
      <c r="C51" s="126" t="s">
        <v>49</v>
      </c>
      <c r="D51" s="67"/>
      <c r="E51" s="67"/>
      <c r="F51" s="67" t="s">
        <v>90</v>
      </c>
      <c r="G51" s="67"/>
      <c r="H51" s="67"/>
      <c r="I51" s="67"/>
      <c r="J51" s="67"/>
      <c r="K51" s="67"/>
    </row>
    <row r="52" spans="1:7" s="59" customFormat="1" ht="15">
      <c r="A52" s="67"/>
      <c r="B52" s="67"/>
      <c r="C52" s="126"/>
      <c r="D52" s="67"/>
      <c r="E52" s="67"/>
      <c r="F52" s="127" t="s">
        <v>438</v>
      </c>
      <c r="G52" s="67"/>
    </row>
    <row r="53" spans="1:10" s="59" customFormat="1" ht="15">
      <c r="A53" s="67" t="s">
        <v>50</v>
      </c>
      <c r="B53" s="67"/>
      <c r="C53" s="126"/>
      <c r="D53" s="67"/>
      <c r="E53" s="67"/>
      <c r="F53" s="67"/>
      <c r="G53" s="67"/>
      <c r="H53" s="157"/>
      <c r="I53" s="157"/>
      <c r="J53" s="157"/>
    </row>
    <row r="54" spans="1:11" ht="15">
      <c r="A54" s="67"/>
      <c r="B54" s="67"/>
      <c r="C54" s="128" t="s">
        <v>51</v>
      </c>
      <c r="D54" s="67"/>
      <c r="E54" s="129"/>
      <c r="F54" s="129"/>
      <c r="G54" s="129"/>
      <c r="H54" s="59"/>
      <c r="I54" s="59"/>
      <c r="J54" s="59"/>
      <c r="K54" s="59"/>
    </row>
    <row r="55" spans="1:11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</row>
  </sheetData>
  <sheetProtection/>
  <mergeCells count="30">
    <mergeCell ref="B49:C49"/>
    <mergeCell ref="F49:G49"/>
    <mergeCell ref="B42:C42"/>
    <mergeCell ref="F42:G42"/>
    <mergeCell ref="B43:C43"/>
    <mergeCell ref="F43:G43"/>
    <mergeCell ref="B48:C48"/>
    <mergeCell ref="F48:G48"/>
    <mergeCell ref="B45:C45"/>
    <mergeCell ref="F45:G45"/>
    <mergeCell ref="A11:K11"/>
    <mergeCell ref="A33:C33"/>
    <mergeCell ref="A39:K39"/>
    <mergeCell ref="B41:C41"/>
    <mergeCell ref="F41:G41"/>
    <mergeCell ref="B44:C44"/>
    <mergeCell ref="F44:G44"/>
    <mergeCell ref="A32:F32"/>
    <mergeCell ref="A36:B36"/>
    <mergeCell ref="A37:B38"/>
    <mergeCell ref="B46:C46"/>
    <mergeCell ref="F46:G46"/>
    <mergeCell ref="B47:C47"/>
    <mergeCell ref="F47:G47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"/>
  <sheetViews>
    <sheetView zoomScalePageLayoutView="0" workbookViewId="0" topLeftCell="A34">
      <selection activeCell="A48" sqref="A48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214</v>
      </c>
      <c r="H7" s="60"/>
    </row>
    <row r="8" spans="1:8" s="59" customFormat="1" ht="12.75">
      <c r="A8" s="59" t="s">
        <v>3</v>
      </c>
      <c r="F8" s="305" t="s">
        <v>500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'[1]Хрустальная 70'!$G$34</f>
        <v>90730.9323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382475.1</v>
      </c>
      <c r="E16" s="76">
        <v>376301.47</v>
      </c>
      <c r="F16" s="76">
        <f aca="true" t="shared" si="0" ref="F16:F23">D16</f>
        <v>382475.1</v>
      </c>
      <c r="G16" s="77">
        <f>D16-E16</f>
        <v>6173.630000000005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127984.89806576402</v>
      </c>
      <c r="E17" s="83">
        <f>E16*I17</f>
        <v>125919.06056092844</v>
      </c>
      <c r="F17" s="83">
        <f t="shared" si="0"/>
        <v>127984.89806576402</v>
      </c>
      <c r="G17" s="84">
        <f>D17-E17</f>
        <v>2065.837504835581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62512.85483558993</v>
      </c>
      <c r="E18" s="83">
        <f>E16*I18</f>
        <v>61503.8185976789</v>
      </c>
      <c r="F18" s="83">
        <f t="shared" si="0"/>
        <v>62512.85483558993</v>
      </c>
      <c r="G18" s="84">
        <f>D18-E18</f>
        <v>1009.0362379110302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79528.18810444874</v>
      </c>
      <c r="E19" s="83">
        <f>E16*I19</f>
        <v>78244.50294970986</v>
      </c>
      <c r="F19" s="83">
        <f t="shared" si="0"/>
        <v>79528.18810444874</v>
      </c>
      <c r="G19" s="84">
        <f>D19-E19</f>
        <v>1283.6851547388796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112449.15899419729</v>
      </c>
      <c r="E20" s="83">
        <f>E16*I20</f>
        <v>110634.08789168278</v>
      </c>
      <c r="F20" s="83">
        <f t="shared" si="0"/>
        <v>112449.15899419729</v>
      </c>
      <c r="G20" s="84">
        <f>D20-E20</f>
        <v>1815.0711025145138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76168.71</v>
      </c>
      <c r="E24" s="87">
        <v>74968.82</v>
      </c>
      <c r="F24" s="87">
        <f>F38</f>
        <v>28133.0482</v>
      </c>
      <c r="G24" s="77">
        <f t="shared" si="1"/>
        <v>1199.8899999999994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1941516.82</v>
      </c>
      <c r="E26" s="77">
        <f>SUM(E27:E30)</f>
        <v>1903574.71</v>
      </c>
      <c r="F26" s="77">
        <f>SUM(F27:F30)</f>
        <v>1941516.82</v>
      </c>
      <c r="G26" s="77">
        <f t="shared" si="1"/>
        <v>37942.1100000001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39925.73</v>
      </c>
      <c r="E27" s="84">
        <v>39214.02</v>
      </c>
      <c r="F27" s="84">
        <f>D27</f>
        <v>39925.73</v>
      </c>
      <c r="G27" s="84">
        <f t="shared" si="1"/>
        <v>711.7100000000064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261445.94</v>
      </c>
      <c r="E28" s="84">
        <v>261738.44</v>
      </c>
      <c r="F28" s="84">
        <f>D28</f>
        <v>261445.94</v>
      </c>
      <c r="G28" s="84">
        <f t="shared" si="1"/>
        <v>-292.5</v>
      </c>
    </row>
    <row r="29" spans="1:7" ht="15">
      <c r="A29" s="34" t="s">
        <v>42</v>
      </c>
      <c r="B29" s="34" t="s">
        <v>421</v>
      </c>
      <c r="C29" s="290" t="s">
        <v>408</v>
      </c>
      <c r="D29" s="213">
        <v>442477.32</v>
      </c>
      <c r="E29" s="213">
        <v>432772.55</v>
      </c>
      <c r="F29" s="84">
        <f>D29</f>
        <v>442477.32</v>
      </c>
      <c r="G29" s="84">
        <f t="shared" si="1"/>
        <v>9704.770000000019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1197667.83</v>
      </c>
      <c r="E30" s="84">
        <v>1169849.7</v>
      </c>
      <c r="F30" s="84">
        <f>D30</f>
        <v>1197667.83</v>
      </c>
      <c r="G30" s="84">
        <f t="shared" si="1"/>
        <v>27818.13000000012</v>
      </c>
    </row>
    <row r="31" spans="1:9" s="102" customFormat="1" ht="17.2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534102.19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137566.7041</v>
      </c>
      <c r="H34" s="62"/>
      <c r="I34" s="62"/>
      <c r="K34" s="146"/>
    </row>
    <row r="35" spans="1:11" ht="31.5" customHeight="1">
      <c r="A35" s="377" t="s">
        <v>182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SUM(F39:G47)</f>
        <v>28133.0482</v>
      </c>
      <c r="G38" s="419"/>
      <c r="H38" s="250"/>
      <c r="I38" s="251"/>
      <c r="L38" s="116"/>
    </row>
    <row r="39" spans="1:12" ht="15">
      <c r="A39" s="34" t="s">
        <v>16</v>
      </c>
      <c r="B39" s="413" t="s">
        <v>385</v>
      </c>
      <c r="C39" s="423"/>
      <c r="D39" s="349" t="s">
        <v>166</v>
      </c>
      <c r="E39" s="353">
        <v>1</v>
      </c>
      <c r="F39" s="451">
        <v>2826.98</v>
      </c>
      <c r="G39" s="452"/>
      <c r="H39" s="252"/>
      <c r="I39" s="253"/>
      <c r="L39" s="120"/>
    </row>
    <row r="40" spans="1:12" ht="15">
      <c r="A40" s="34" t="s">
        <v>18</v>
      </c>
      <c r="B40" s="413" t="s">
        <v>268</v>
      </c>
      <c r="C40" s="423"/>
      <c r="D40" s="349" t="s">
        <v>229</v>
      </c>
      <c r="E40" s="349">
        <v>0.04</v>
      </c>
      <c r="F40" s="451">
        <v>2017.15</v>
      </c>
      <c r="G40" s="452"/>
      <c r="H40" s="40"/>
      <c r="I40" s="40"/>
      <c r="L40" s="120"/>
    </row>
    <row r="41" spans="1:12" ht="15">
      <c r="A41" s="34" t="s">
        <v>20</v>
      </c>
      <c r="B41" s="413" t="s">
        <v>383</v>
      </c>
      <c r="C41" s="423"/>
      <c r="D41" s="349" t="s">
        <v>230</v>
      </c>
      <c r="E41" s="353">
        <v>0.25</v>
      </c>
      <c r="F41" s="451">
        <v>1266.23</v>
      </c>
      <c r="G41" s="452"/>
      <c r="H41" s="40"/>
      <c r="I41" s="40"/>
      <c r="L41" s="120"/>
    </row>
    <row r="42" spans="1:12" ht="15">
      <c r="A42" s="34" t="s">
        <v>22</v>
      </c>
      <c r="B42" s="382" t="s">
        <v>720</v>
      </c>
      <c r="C42" s="384"/>
      <c r="D42" s="349"/>
      <c r="E42" s="122" t="s">
        <v>238</v>
      </c>
      <c r="F42" s="446">
        <v>1273</v>
      </c>
      <c r="G42" s="447"/>
      <c r="H42" s="40"/>
      <c r="I42" s="40"/>
      <c r="L42" s="120"/>
    </row>
    <row r="43" spans="1:12" ht="15">
      <c r="A43" s="34" t="s">
        <v>24</v>
      </c>
      <c r="B43" s="382" t="s">
        <v>702</v>
      </c>
      <c r="C43" s="384"/>
      <c r="D43" s="349"/>
      <c r="E43" s="353"/>
      <c r="F43" s="446">
        <v>10000</v>
      </c>
      <c r="G43" s="447"/>
      <c r="H43" s="40"/>
      <c r="I43" s="40"/>
      <c r="L43" s="120"/>
    </row>
    <row r="44" spans="1:12" ht="15">
      <c r="A44" s="34" t="s">
        <v>103</v>
      </c>
      <c r="B44" s="382" t="s">
        <v>757</v>
      </c>
      <c r="C44" s="384"/>
      <c r="D44" s="349"/>
      <c r="E44" s="353"/>
      <c r="F44" s="446">
        <v>6800</v>
      </c>
      <c r="G44" s="447"/>
      <c r="H44" s="40"/>
      <c r="I44" s="40"/>
      <c r="L44" s="120"/>
    </row>
    <row r="45" spans="1:12" ht="15">
      <c r="A45" s="34" t="s">
        <v>104</v>
      </c>
      <c r="B45" s="382" t="s">
        <v>758</v>
      </c>
      <c r="C45" s="384"/>
      <c r="D45" s="349"/>
      <c r="E45" s="353"/>
      <c r="F45" s="446">
        <v>3200</v>
      </c>
      <c r="G45" s="447"/>
      <c r="H45" s="40"/>
      <c r="I45" s="40"/>
      <c r="L45" s="120"/>
    </row>
    <row r="46" spans="1:12" ht="15">
      <c r="A46" s="34" t="s">
        <v>117</v>
      </c>
      <c r="B46" s="382"/>
      <c r="C46" s="384"/>
      <c r="D46" s="349"/>
      <c r="E46" s="353"/>
      <c r="F46" s="446"/>
      <c r="G46" s="447"/>
      <c r="H46" s="40"/>
      <c r="I46" s="40"/>
      <c r="L46" s="120"/>
    </row>
    <row r="47" spans="1:11" s="67" customFormat="1" ht="15">
      <c r="A47" s="34" t="s">
        <v>118</v>
      </c>
      <c r="B47" s="440" t="s">
        <v>191</v>
      </c>
      <c r="C47" s="441"/>
      <c r="D47" s="124"/>
      <c r="E47" s="124"/>
      <c r="F47" s="429">
        <f>E24*1%</f>
        <v>749.6882</v>
      </c>
      <c r="G47" s="429"/>
      <c r="H47" s="59"/>
      <c r="I47" s="59"/>
      <c r="J47" s="59"/>
      <c r="K47" s="59"/>
    </row>
    <row r="48" s="59" customFormat="1" ht="9" customHeight="1"/>
    <row r="49" spans="1:11" s="59" customFormat="1" ht="15">
      <c r="A49" s="67" t="s">
        <v>55</v>
      </c>
      <c r="B49" s="67"/>
      <c r="C49" s="126" t="s">
        <v>49</v>
      </c>
      <c r="D49" s="67"/>
      <c r="E49" s="67"/>
      <c r="F49" s="67" t="s">
        <v>90</v>
      </c>
      <c r="G49" s="67"/>
      <c r="H49" s="67"/>
      <c r="I49" s="67"/>
      <c r="J49" s="67"/>
      <c r="K49" s="67"/>
    </row>
    <row r="50" spans="1:7" s="59" customFormat="1" ht="15">
      <c r="A50" s="67"/>
      <c r="B50" s="67"/>
      <c r="C50" s="126"/>
      <c r="D50" s="67"/>
      <c r="E50" s="67"/>
      <c r="F50" s="127" t="s">
        <v>438</v>
      </c>
      <c r="G50" s="67"/>
    </row>
    <row r="51" spans="1:10" s="59" customFormat="1" ht="15">
      <c r="A51" s="67" t="s">
        <v>50</v>
      </c>
      <c r="B51" s="67"/>
      <c r="C51" s="126"/>
      <c r="D51" s="67"/>
      <c r="E51" s="67"/>
      <c r="F51" s="67"/>
      <c r="G51" s="67"/>
      <c r="H51" s="157"/>
      <c r="I51" s="157"/>
      <c r="J51" s="157"/>
    </row>
    <row r="52" spans="1:11" ht="15">
      <c r="A52" s="67"/>
      <c r="B52" s="67"/>
      <c r="C52" s="128" t="s">
        <v>51</v>
      </c>
      <c r="D52" s="67"/>
      <c r="E52" s="129"/>
      <c r="F52" s="129"/>
      <c r="G52" s="129"/>
      <c r="H52" s="59"/>
      <c r="I52" s="59"/>
      <c r="J52" s="59"/>
      <c r="K52" s="59"/>
    </row>
    <row r="53" spans="1:11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</sheetData>
  <sheetProtection/>
  <mergeCells count="32">
    <mergeCell ref="F42:G42"/>
    <mergeCell ref="F43:G43"/>
    <mergeCell ref="F44:G44"/>
    <mergeCell ref="F45:G45"/>
    <mergeCell ref="F46:G46"/>
    <mergeCell ref="B41:C41"/>
    <mergeCell ref="F41:G41"/>
    <mergeCell ref="B47:C47"/>
    <mergeCell ref="F47:G47"/>
    <mergeCell ref="B42:C42"/>
    <mergeCell ref="B43:C43"/>
    <mergeCell ref="B44:C44"/>
    <mergeCell ref="B45:C45"/>
    <mergeCell ref="B46:C46"/>
    <mergeCell ref="B38:C38"/>
    <mergeCell ref="F38:G38"/>
    <mergeCell ref="B39:C39"/>
    <mergeCell ref="F39:G39"/>
    <mergeCell ref="B40:C40"/>
    <mergeCell ref="F40:G40"/>
    <mergeCell ref="A1:K1"/>
    <mergeCell ref="A2:K2"/>
    <mergeCell ref="A3:K3"/>
    <mergeCell ref="A5:K5"/>
    <mergeCell ref="A9:K9"/>
    <mergeCell ref="A10:K10"/>
    <mergeCell ref="A11:K11"/>
    <mergeCell ref="A32:C32"/>
    <mergeCell ref="A35:K35"/>
    <mergeCell ref="B37:C37"/>
    <mergeCell ref="F37:G37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34">
      <selection activeCell="A44" sqref="A4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186</v>
      </c>
      <c r="H7" s="60"/>
    </row>
    <row r="8" spans="1:8" s="59" customFormat="1" ht="12.75">
      <c r="A8" s="59" t="s">
        <v>3</v>
      </c>
      <c r="F8" s="305" t="s">
        <v>269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3.5" thickBot="1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15.75" customHeight="1" thickBot="1">
      <c r="A12" s="63" t="s">
        <v>501</v>
      </c>
      <c r="B12" s="63"/>
      <c r="C12" s="64"/>
      <c r="D12" s="69"/>
      <c r="E12" s="70"/>
      <c r="F12" s="70"/>
      <c r="G12" s="265">
        <f>'[1]Хрустальная 74'!$G$35</f>
        <v>-1607.0299999999975</v>
      </c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'[1]Хрустальная 74'!$G$34</f>
        <v>-241928.49019999994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581553.74</v>
      </c>
      <c r="E16" s="76">
        <v>568769.91</v>
      </c>
      <c r="F16" s="76">
        <f aca="true" t="shared" si="0" ref="F16:F23">D16</f>
        <v>581553.74</v>
      </c>
      <c r="G16" s="77">
        <f>D16-E16</f>
        <v>12783.829999999958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194601.1547775629</v>
      </c>
      <c r="E17" s="83">
        <f>E16*I17</f>
        <v>190323.39348162478</v>
      </c>
      <c r="F17" s="83">
        <f t="shared" si="0"/>
        <v>194601.1547775629</v>
      </c>
      <c r="G17" s="84">
        <f>D17-E17</f>
        <v>4277.761295938108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95050.85305609283</v>
      </c>
      <c r="E18" s="83">
        <f>E16*I18</f>
        <v>92961.4262959381</v>
      </c>
      <c r="F18" s="83">
        <f t="shared" si="0"/>
        <v>95050.85305609283</v>
      </c>
      <c r="G18" s="84">
        <f>D18-E18</f>
        <v>2089.4267601547326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5">
        <v>2.15</v>
      </c>
      <c r="D19" s="83">
        <f>D16*I19</f>
        <v>120922.6828820116</v>
      </c>
      <c r="E19" s="83">
        <f>E16*I19</f>
        <v>118264.53641199227</v>
      </c>
      <c r="F19" s="83">
        <f t="shared" si="0"/>
        <v>120922.6828820116</v>
      </c>
      <c r="G19" s="84">
        <f>D19-E19</f>
        <v>2658.146470019332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170979.0492843327</v>
      </c>
      <c r="E20" s="83">
        <f>E16*I20</f>
        <v>167220.5538104449</v>
      </c>
      <c r="F20" s="83">
        <f t="shared" si="0"/>
        <v>170979.0492843327</v>
      </c>
      <c r="G20" s="84">
        <f>D20-E20</f>
        <v>3758.4954738878005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326</v>
      </c>
      <c r="C21" s="46">
        <v>0</v>
      </c>
      <c r="D21" s="87">
        <v>0</v>
      </c>
      <c r="E21" s="87">
        <v>1554.34</v>
      </c>
      <c r="F21" s="87">
        <v>0</v>
      </c>
      <c r="G21" s="77">
        <f aca="true" t="shared" si="1" ref="G21:G30">D21-E21</f>
        <v>-1554.34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28</v>
      </c>
      <c r="C22" s="46">
        <v>0</v>
      </c>
      <c r="D22" s="87">
        <v>0</v>
      </c>
      <c r="E22" s="87"/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112911.48</v>
      </c>
      <c r="E24" s="87">
        <v>113930.94</v>
      </c>
      <c r="F24" s="87">
        <f>F39</f>
        <v>176880.0694</v>
      </c>
      <c r="G24" s="77">
        <f t="shared" si="1"/>
        <v>-1019.4600000000064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 t="s">
        <v>334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2553709.9299999997</v>
      </c>
      <c r="E26" s="77">
        <f>SUM(E27:E30)</f>
        <v>2578098.05</v>
      </c>
      <c r="F26" s="77">
        <f>SUM(F27:F30)</f>
        <v>2553709.9299999997</v>
      </c>
      <c r="G26" s="77">
        <f t="shared" si="1"/>
        <v>-24388.12000000011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39077.7</v>
      </c>
      <c r="E27" s="84">
        <v>39357.21</v>
      </c>
      <c r="F27" s="84">
        <f>D27</f>
        <v>39077.7</v>
      </c>
      <c r="G27" s="84">
        <f t="shared" si="1"/>
        <v>-279.51000000000204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370587.91</v>
      </c>
      <c r="E28" s="84">
        <v>382084.39</v>
      </c>
      <c r="F28" s="84">
        <f>D28</f>
        <v>370587.91</v>
      </c>
      <c r="G28" s="84">
        <f t="shared" si="1"/>
        <v>-11496.48000000004</v>
      </c>
    </row>
    <row r="29" spans="1:7" ht="15">
      <c r="A29" s="34" t="s">
        <v>42</v>
      </c>
      <c r="B29" s="34" t="s">
        <v>421</v>
      </c>
      <c r="C29" s="290" t="s">
        <v>408</v>
      </c>
      <c r="D29" s="84">
        <v>662617.75</v>
      </c>
      <c r="E29" s="84">
        <v>664731.29</v>
      </c>
      <c r="F29" s="84">
        <f>D29</f>
        <v>662617.75</v>
      </c>
      <c r="G29" s="84">
        <f t="shared" si="1"/>
        <v>-2113.5400000000373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1481426.57</v>
      </c>
      <c r="E30" s="84">
        <v>1491925.16</v>
      </c>
      <c r="F30" s="84">
        <f>D30</f>
        <v>1481426.57</v>
      </c>
      <c r="G30" s="84">
        <f t="shared" si="1"/>
        <v>-10498.589999999851</v>
      </c>
    </row>
    <row r="31" spans="1:9" s="102" customFormat="1" ht="21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628798.09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-304877.6196</v>
      </c>
      <c r="H34" s="62"/>
      <c r="I34" s="62"/>
    </row>
    <row r="35" spans="1:11" s="102" customFormat="1" ht="14.25" thickBot="1">
      <c r="A35" s="63" t="s">
        <v>502</v>
      </c>
      <c r="B35" s="64"/>
      <c r="C35" s="64"/>
      <c r="D35" s="69"/>
      <c r="E35" s="70"/>
      <c r="F35" s="70"/>
      <c r="G35" s="145">
        <f>G12+E21-F21</f>
        <v>-52.68999999999755</v>
      </c>
      <c r="H35" s="101"/>
      <c r="I35" s="101"/>
      <c r="J35" s="101"/>
      <c r="K35" s="101"/>
    </row>
    <row r="36" spans="1:11" ht="31.5" customHeight="1">
      <c r="A36" s="377" t="s">
        <v>182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</row>
    <row r="38" spans="1:12" s="74" customFormat="1" ht="37.5" customHeight="1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L38" s="108"/>
    </row>
    <row r="39" spans="1:12" s="115" customFormat="1" ht="15" customHeight="1">
      <c r="A39" s="109" t="s">
        <v>47</v>
      </c>
      <c r="B39" s="403" t="s">
        <v>111</v>
      </c>
      <c r="C39" s="425"/>
      <c r="D39" s="111"/>
      <c r="E39" s="111"/>
      <c r="F39" s="430">
        <f>SUM(F40:G43)</f>
        <v>176880.0694</v>
      </c>
      <c r="G39" s="419"/>
      <c r="H39" s="250"/>
      <c r="I39" s="251"/>
      <c r="L39" s="116"/>
    </row>
    <row r="40" spans="1:12" ht="15">
      <c r="A40" s="34" t="s">
        <v>16</v>
      </c>
      <c r="B40" s="413" t="s">
        <v>170</v>
      </c>
      <c r="C40" s="423"/>
      <c r="D40" s="349" t="s">
        <v>247</v>
      </c>
      <c r="E40" s="358">
        <v>2.65</v>
      </c>
      <c r="F40" s="451">
        <v>170721.76</v>
      </c>
      <c r="G40" s="452"/>
      <c r="H40" s="252"/>
      <c r="I40" s="253"/>
      <c r="L40" s="120"/>
    </row>
    <row r="41" spans="1:12" ht="15">
      <c r="A41" s="34" t="s">
        <v>18</v>
      </c>
      <c r="B41" s="382" t="s">
        <v>759</v>
      </c>
      <c r="C41" s="384"/>
      <c r="D41" s="119"/>
      <c r="E41" s="122"/>
      <c r="F41" s="449">
        <v>5019</v>
      </c>
      <c r="G41" s="450"/>
      <c r="H41" s="40"/>
      <c r="I41" s="40"/>
      <c r="L41" s="120"/>
    </row>
    <row r="42" spans="1:12" ht="15">
      <c r="A42" s="34" t="s">
        <v>20</v>
      </c>
      <c r="B42" s="117"/>
      <c r="C42" s="118"/>
      <c r="D42" s="119"/>
      <c r="E42" s="119"/>
      <c r="F42" s="446"/>
      <c r="G42" s="447"/>
      <c r="H42" s="40"/>
      <c r="I42" s="40"/>
      <c r="L42" s="120"/>
    </row>
    <row r="43" spans="1:11" s="67" customFormat="1" ht="15">
      <c r="A43" s="34" t="s">
        <v>22</v>
      </c>
      <c r="B43" s="440" t="s">
        <v>191</v>
      </c>
      <c r="C43" s="441"/>
      <c r="D43" s="124"/>
      <c r="E43" s="124"/>
      <c r="F43" s="429">
        <f>E24*1%</f>
        <v>1139.3094</v>
      </c>
      <c r="G43" s="429"/>
      <c r="H43" s="59"/>
      <c r="I43" s="59"/>
      <c r="J43" s="59"/>
      <c r="K43" s="59"/>
    </row>
    <row r="44" s="59" customFormat="1" ht="9" customHeight="1"/>
    <row r="45" spans="1:11" s="59" customFormat="1" ht="15">
      <c r="A45" s="67" t="s">
        <v>55</v>
      </c>
      <c r="B45" s="67"/>
      <c r="C45" s="126" t="s">
        <v>49</v>
      </c>
      <c r="D45" s="67"/>
      <c r="E45" s="67"/>
      <c r="F45" s="67" t="s">
        <v>90</v>
      </c>
      <c r="G45" s="67"/>
      <c r="H45" s="67"/>
      <c r="I45" s="67"/>
      <c r="J45" s="67"/>
      <c r="K45" s="67"/>
    </row>
    <row r="46" spans="1:7" s="59" customFormat="1" ht="15">
      <c r="A46" s="67"/>
      <c r="B46" s="67"/>
      <c r="C46" s="126"/>
      <c r="D46" s="67"/>
      <c r="E46" s="67"/>
      <c r="F46" s="127" t="s">
        <v>438</v>
      </c>
      <c r="G46" s="67"/>
    </row>
    <row r="47" spans="1:10" s="59" customFormat="1" ht="15">
      <c r="A47" s="67" t="s">
        <v>50</v>
      </c>
      <c r="B47" s="67"/>
      <c r="C47" s="126"/>
      <c r="D47" s="67"/>
      <c r="E47" s="67"/>
      <c r="F47" s="67"/>
      <c r="G47" s="67"/>
      <c r="H47" s="157"/>
      <c r="I47" s="157"/>
      <c r="J47" s="157"/>
    </row>
    <row r="48" spans="1:11" ht="15">
      <c r="A48" s="67"/>
      <c r="B48" s="67"/>
      <c r="C48" s="128" t="s">
        <v>51</v>
      </c>
      <c r="D48" s="67"/>
      <c r="E48" s="129"/>
      <c r="F48" s="129"/>
      <c r="G48" s="129"/>
      <c r="H48" s="59"/>
      <c r="I48" s="59"/>
      <c r="J48" s="59"/>
      <c r="K48" s="59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</sheetData>
  <sheetProtection/>
  <mergeCells count="21">
    <mergeCell ref="B39:C39"/>
    <mergeCell ref="A31:F31"/>
    <mergeCell ref="F39:G39"/>
    <mergeCell ref="A11:K11"/>
    <mergeCell ref="A10:K10"/>
    <mergeCell ref="B38:C38"/>
    <mergeCell ref="A32:C32"/>
    <mergeCell ref="A36:K36"/>
    <mergeCell ref="F38:G38"/>
    <mergeCell ref="B43:C43"/>
    <mergeCell ref="F43:G43"/>
    <mergeCell ref="B40:C40"/>
    <mergeCell ref="A1:K1"/>
    <mergeCell ref="A2:K2"/>
    <mergeCell ref="A3:K3"/>
    <mergeCell ref="A5:K5"/>
    <mergeCell ref="A9:K9"/>
    <mergeCell ref="F40:G40"/>
    <mergeCell ref="B41:C41"/>
    <mergeCell ref="F41:G41"/>
    <mergeCell ref="F42:G4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7030A0"/>
  </sheetPr>
  <dimension ref="A1:T67"/>
  <sheetViews>
    <sheetView zoomScalePageLayoutView="0" workbookViewId="0" topLeftCell="A49">
      <selection activeCell="F53" sqref="F53:G53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5" width="13.8515625" style="57" customWidth="1"/>
    <col min="6" max="6" width="14.710937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12.00390625" style="57" bestFit="1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187</v>
      </c>
      <c r="H7" s="60"/>
    </row>
    <row r="8" spans="1:10" s="59" customFormat="1" ht="12.75">
      <c r="A8" s="59" t="s">
        <v>3</v>
      </c>
      <c r="F8" s="305" t="s">
        <v>503</v>
      </c>
      <c r="H8" s="60">
        <f>57.3+130+80.9+58.3</f>
        <v>326.50000000000006</v>
      </c>
      <c r="I8" s="255">
        <v>15100.3</v>
      </c>
      <c r="J8" s="308">
        <f>H8+I8</f>
        <v>15426.8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'[1]Молодежная 46'!$G$35</f>
        <v>660002.2955000002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46">
        <f>C17+C18+C19+C20+C21</f>
        <v>11.06</v>
      </c>
      <c r="D16" s="76">
        <v>2057060.29</v>
      </c>
      <c r="E16" s="76">
        <v>2034090.57</v>
      </c>
      <c r="F16" s="76">
        <f>SUM(F17:F21)</f>
        <v>2054668.2235262208</v>
      </c>
      <c r="G16" s="77">
        <f aca="true" t="shared" si="0" ref="G16:G21">D16-E16</f>
        <v>22969.719999999972</v>
      </c>
      <c r="H16" s="78">
        <f aca="true" t="shared" si="1" ref="H16:H21">C16</f>
        <v>11.06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643528.8068173599</v>
      </c>
      <c r="E17" s="83">
        <f>E16*I17</f>
        <v>636342.9812115732</v>
      </c>
      <c r="F17" s="83">
        <f aca="true" t="shared" si="2" ref="F17:F23">D17</f>
        <v>643528.8068173599</v>
      </c>
      <c r="G17" s="84">
        <f t="shared" si="0"/>
        <v>7185.825605786638</v>
      </c>
      <c r="H17" s="78">
        <f t="shared" si="1"/>
        <v>3.46</v>
      </c>
      <c r="I17" s="59">
        <f>H17/H16</f>
        <v>0.3128390596745027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314324.7640235081</v>
      </c>
      <c r="E18" s="83">
        <f>E16*I18</f>
        <v>310814.92434900545</v>
      </c>
      <c r="F18" s="83">
        <f t="shared" si="2"/>
        <v>314324.7640235081</v>
      </c>
      <c r="G18" s="84">
        <f t="shared" si="0"/>
        <v>3509.8396745026694</v>
      </c>
      <c r="H18" s="78">
        <f t="shared" si="1"/>
        <v>1.69</v>
      </c>
      <c r="I18" s="59">
        <f>H18/H16</f>
        <v>0.15280289330922242</v>
      </c>
    </row>
    <row r="19" spans="1:9" s="59" customFormat="1" ht="15">
      <c r="A19" s="81" t="s">
        <v>20</v>
      </c>
      <c r="B19" s="34" t="s">
        <v>21</v>
      </c>
      <c r="C19" s="85">
        <v>1.99</v>
      </c>
      <c r="D19" s="83">
        <f>D16*I19</f>
        <v>370122.0594122965</v>
      </c>
      <c r="E19" s="83">
        <f>E16*I19</f>
        <v>365989.17127486435</v>
      </c>
      <c r="F19" s="83">
        <f t="shared" si="2"/>
        <v>370122.0594122965</v>
      </c>
      <c r="G19" s="84">
        <f t="shared" si="0"/>
        <v>4132.8881374321645</v>
      </c>
      <c r="H19" s="78">
        <f t="shared" si="1"/>
        <v>1.99</v>
      </c>
      <c r="I19" s="59">
        <f>H19/H16</f>
        <v>0.1799276672694394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565412.5932730561</v>
      </c>
      <c r="E20" s="83">
        <f>E16*I20</f>
        <v>559099.0355153708</v>
      </c>
      <c r="F20" s="83">
        <f t="shared" si="2"/>
        <v>565412.5932730561</v>
      </c>
      <c r="G20" s="84">
        <f t="shared" si="0"/>
        <v>6313.55775768531</v>
      </c>
      <c r="H20" s="78">
        <f t="shared" si="1"/>
        <v>3.04</v>
      </c>
      <c r="I20" s="59">
        <f>H20/H16</f>
        <v>0.27486437613019893</v>
      </c>
    </row>
    <row r="21" spans="1:9" s="59" customFormat="1" ht="15">
      <c r="A21" s="81" t="s">
        <v>24</v>
      </c>
      <c r="B21" s="34" t="s">
        <v>188</v>
      </c>
      <c r="C21" s="82">
        <v>0.88</v>
      </c>
      <c r="D21" s="83">
        <f>D16*I21</f>
        <v>163672.06647377938</v>
      </c>
      <c r="E21" s="83">
        <f>E16*I21</f>
        <v>161844.45764918625</v>
      </c>
      <c r="F21" s="242">
        <f>F60</f>
        <v>161280</v>
      </c>
      <c r="G21" s="84">
        <f t="shared" si="0"/>
        <v>1827.6088245931314</v>
      </c>
      <c r="H21" s="78">
        <f t="shared" si="1"/>
        <v>0.88</v>
      </c>
      <c r="I21" s="59">
        <f>H21/H16</f>
        <v>0.07956600361663653</v>
      </c>
    </row>
    <row r="22" spans="1:11" s="89" customFormat="1" ht="14.25">
      <c r="A22" s="86" t="s">
        <v>25</v>
      </c>
      <c r="B22" s="86" t="s">
        <v>26</v>
      </c>
      <c r="C22" s="46">
        <v>3.86</v>
      </c>
      <c r="D22" s="87">
        <v>696938.68</v>
      </c>
      <c r="E22" s="87">
        <v>699809.19</v>
      </c>
      <c r="F22" s="87">
        <f t="shared" si="2"/>
        <v>696938.68</v>
      </c>
      <c r="G22" s="77">
        <f aca="true" t="shared" si="3" ref="G22:G31">D22-E22</f>
        <v>-2870.509999999893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>
        <v>0</v>
      </c>
      <c r="D23" s="87">
        <v>0</v>
      </c>
      <c r="E23" s="87">
        <v>0</v>
      </c>
      <c r="F23" s="87">
        <f t="shared" si="2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28.5">
      <c r="A24" s="86" t="s">
        <v>29</v>
      </c>
      <c r="B24" s="86" t="s">
        <v>324</v>
      </c>
      <c r="C24" s="46">
        <v>100</v>
      </c>
      <c r="D24" s="87">
        <v>367200</v>
      </c>
      <c r="E24" s="87">
        <v>361309.45</v>
      </c>
      <c r="F24" s="87">
        <f>D24</f>
        <v>367200</v>
      </c>
      <c r="G24" s="77">
        <f t="shared" si="3"/>
        <v>5890.549999999988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380946.09</v>
      </c>
      <c r="E25" s="87">
        <v>378656.88</v>
      </c>
      <c r="F25" s="87">
        <f>F40</f>
        <v>819196.4587999999</v>
      </c>
      <c r="G25" s="77">
        <f t="shared" si="3"/>
        <v>2289.210000000021</v>
      </c>
      <c r="H25" s="88"/>
      <c r="I25" s="88"/>
      <c r="J25" s="88"/>
      <c r="K25" s="266"/>
    </row>
    <row r="26" spans="1:12" ht="14.25">
      <c r="A26" s="41" t="s">
        <v>33</v>
      </c>
      <c r="B26" s="41" t="s">
        <v>163</v>
      </c>
      <c r="C26" s="97" t="s">
        <v>334</v>
      </c>
      <c r="D26" s="77">
        <v>0</v>
      </c>
      <c r="E26" s="77">
        <v>0</v>
      </c>
      <c r="F26" s="87">
        <f>D26</f>
        <v>0</v>
      </c>
      <c r="G26" s="77">
        <f t="shared" si="3"/>
        <v>0</v>
      </c>
      <c r="H26" s="98"/>
      <c r="I26" s="98"/>
      <c r="J26" s="98"/>
      <c r="K26" s="98"/>
      <c r="L26" s="218"/>
    </row>
    <row r="27" spans="1:11" ht="14.25">
      <c r="A27" s="41" t="s">
        <v>35</v>
      </c>
      <c r="B27" s="41" t="s">
        <v>36</v>
      </c>
      <c r="C27" s="97"/>
      <c r="D27" s="77">
        <f>SUM(D28:D31)</f>
        <v>10771753.65</v>
      </c>
      <c r="E27" s="77">
        <f>SUM(E28:E31)</f>
        <v>10721375.41</v>
      </c>
      <c r="F27" s="77">
        <f>SUM(F28:F31)</f>
        <v>10771753.65</v>
      </c>
      <c r="G27" s="77">
        <f t="shared" si="3"/>
        <v>50378.24000000022</v>
      </c>
      <c r="H27" s="98"/>
      <c r="I27" s="98"/>
      <c r="J27" s="98"/>
      <c r="K27" s="98"/>
    </row>
    <row r="28" spans="1:7" ht="15">
      <c r="A28" s="34" t="s">
        <v>37</v>
      </c>
      <c r="B28" s="34" t="s">
        <v>174</v>
      </c>
      <c r="C28" s="297" t="s">
        <v>426</v>
      </c>
      <c r="D28" s="84">
        <v>2357551.62</v>
      </c>
      <c r="E28" s="84">
        <v>2343772.85</v>
      </c>
      <c r="F28" s="84">
        <f>D28</f>
        <v>2357551.62</v>
      </c>
      <c r="G28" s="84">
        <f t="shared" si="3"/>
        <v>13778.770000000019</v>
      </c>
    </row>
    <row r="29" spans="1:7" ht="15">
      <c r="A29" s="34" t="s">
        <v>39</v>
      </c>
      <c r="B29" s="34" t="s">
        <v>138</v>
      </c>
      <c r="C29" s="289" t="s">
        <v>409</v>
      </c>
      <c r="D29" s="84">
        <v>1062693.59</v>
      </c>
      <c r="E29" s="84">
        <v>1094259.48</v>
      </c>
      <c r="F29" s="84">
        <f>D29</f>
        <v>1062693.59</v>
      </c>
      <c r="G29" s="84">
        <f t="shared" si="3"/>
        <v>-31565.889999999898</v>
      </c>
    </row>
    <row r="30" spans="1:7" ht="26.25">
      <c r="A30" s="34" t="s">
        <v>42</v>
      </c>
      <c r="B30" s="34" t="s">
        <v>421</v>
      </c>
      <c r="C30" s="49" t="s">
        <v>259</v>
      </c>
      <c r="D30" s="84">
        <v>1654096.91</v>
      </c>
      <c r="E30" s="84">
        <v>1630462.28</v>
      </c>
      <c r="F30" s="84">
        <f>D30</f>
        <v>1654096.91</v>
      </c>
      <c r="G30" s="84">
        <f t="shared" si="3"/>
        <v>23634.62999999989</v>
      </c>
    </row>
    <row r="31" spans="1:7" ht="15">
      <c r="A31" s="34" t="s">
        <v>41</v>
      </c>
      <c r="B31" s="34" t="s">
        <v>43</v>
      </c>
      <c r="C31" s="297" t="s">
        <v>504</v>
      </c>
      <c r="D31" s="84">
        <v>5697411.53</v>
      </c>
      <c r="E31" s="84">
        <v>5652880.8</v>
      </c>
      <c r="F31" s="84">
        <f>D31</f>
        <v>5697411.53</v>
      </c>
      <c r="G31" s="84">
        <f t="shared" si="3"/>
        <v>44530.73000000045</v>
      </c>
    </row>
    <row r="32" spans="1:9" s="102" customFormat="1" ht="16.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3815718.73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1" s="67" customFormat="1" ht="15.75" thickBot="1">
      <c r="A35" s="63" t="s">
        <v>413</v>
      </c>
      <c r="B35" s="64"/>
      <c r="C35" s="64"/>
      <c r="D35" s="69"/>
      <c r="E35" s="70"/>
      <c r="F35" s="70"/>
      <c r="G35" s="71">
        <f>G13+E25-F25</f>
        <v>219462.71670000034</v>
      </c>
      <c r="H35" s="62"/>
      <c r="I35" s="62"/>
      <c r="K35" s="146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20" ht="31.5" customHeight="1">
      <c r="A37" s="377" t="s">
        <v>182</v>
      </c>
      <c r="B37" s="417"/>
      <c r="C37" s="417"/>
      <c r="D37" s="417"/>
      <c r="E37" s="417"/>
      <c r="F37" s="417"/>
      <c r="G37" s="417"/>
      <c r="H37" s="58"/>
      <c r="I37" s="58"/>
      <c r="J37" s="58"/>
      <c r="K37" s="58"/>
      <c r="L37" s="556"/>
      <c r="M37" s="556"/>
      <c r="N37" s="267"/>
      <c r="O37" s="267"/>
      <c r="P37" s="226"/>
      <c r="Q37" s="268"/>
      <c r="R37" s="226"/>
      <c r="S37" s="92"/>
      <c r="T37" s="92"/>
    </row>
    <row r="38" spans="12:20" ht="15">
      <c r="L38" s="556"/>
      <c r="M38" s="556"/>
      <c r="N38" s="267"/>
      <c r="O38" s="226"/>
      <c r="P38" s="269"/>
      <c r="Q38" s="269"/>
      <c r="R38" s="226"/>
      <c r="S38" s="92"/>
      <c r="T38" s="92"/>
    </row>
    <row r="39" spans="1:12" s="74" customFormat="1" ht="37.5" customHeight="1">
      <c r="A39" s="105" t="s">
        <v>11</v>
      </c>
      <c r="B39" s="535" t="s">
        <v>45</v>
      </c>
      <c r="C39" s="535"/>
      <c r="D39" s="105" t="s">
        <v>165</v>
      </c>
      <c r="E39" s="105" t="s">
        <v>164</v>
      </c>
      <c r="F39" s="535" t="s">
        <v>46</v>
      </c>
      <c r="G39" s="535"/>
      <c r="H39" s="106"/>
      <c r="I39" s="107"/>
      <c r="L39" s="108"/>
    </row>
    <row r="40" spans="1:12" s="115" customFormat="1" ht="15" customHeight="1">
      <c r="A40" s="109" t="s">
        <v>47</v>
      </c>
      <c r="B40" s="534" t="s">
        <v>111</v>
      </c>
      <c r="C40" s="534"/>
      <c r="D40" s="111"/>
      <c r="E40" s="111"/>
      <c r="F40" s="543">
        <f>SUM(F41:G59)</f>
        <v>819196.4587999999</v>
      </c>
      <c r="G40" s="544"/>
      <c r="H40" s="113"/>
      <c r="I40" s="114"/>
      <c r="L40" s="116"/>
    </row>
    <row r="41" spans="1:12" ht="15">
      <c r="A41" s="34" t="s">
        <v>16</v>
      </c>
      <c r="B41" s="532" t="s">
        <v>589</v>
      </c>
      <c r="C41" s="532"/>
      <c r="D41" s="349" t="s">
        <v>166</v>
      </c>
      <c r="E41" s="349">
        <v>1</v>
      </c>
      <c r="F41" s="431">
        <v>21000</v>
      </c>
      <c r="G41" s="431"/>
      <c r="H41" s="40"/>
      <c r="I41" s="40"/>
      <c r="L41" s="120"/>
    </row>
    <row r="42" spans="1:12" ht="15">
      <c r="A42" s="34" t="s">
        <v>18</v>
      </c>
      <c r="B42" s="413" t="s">
        <v>590</v>
      </c>
      <c r="C42" s="423"/>
      <c r="D42" s="349" t="s">
        <v>236</v>
      </c>
      <c r="E42" s="349" t="s">
        <v>242</v>
      </c>
      <c r="F42" s="451">
        <v>11140.56</v>
      </c>
      <c r="G42" s="452"/>
      <c r="H42" s="40"/>
      <c r="I42" s="40"/>
      <c r="L42" s="120"/>
    </row>
    <row r="43" spans="1:12" ht="15">
      <c r="A43" s="34" t="s">
        <v>20</v>
      </c>
      <c r="B43" s="413" t="s">
        <v>591</v>
      </c>
      <c r="C43" s="423"/>
      <c r="D43" s="349" t="s">
        <v>236</v>
      </c>
      <c r="E43" s="349">
        <v>5</v>
      </c>
      <c r="F43" s="451">
        <v>34105.5</v>
      </c>
      <c r="G43" s="452"/>
      <c r="H43" s="40"/>
      <c r="I43" s="40"/>
      <c r="L43" s="120"/>
    </row>
    <row r="44" spans="1:12" ht="20.25" customHeight="1">
      <c r="A44" s="256" t="s">
        <v>22</v>
      </c>
      <c r="B44" s="413" t="s">
        <v>583</v>
      </c>
      <c r="C44" s="423"/>
      <c r="D44" s="349" t="s">
        <v>166</v>
      </c>
      <c r="E44" s="349">
        <v>40</v>
      </c>
      <c r="F44" s="451">
        <v>7929.2</v>
      </c>
      <c r="G44" s="452"/>
      <c r="H44" s="40"/>
      <c r="I44" s="40"/>
      <c r="L44" s="120"/>
    </row>
    <row r="45" spans="1:11" s="67" customFormat="1" ht="21" customHeight="1">
      <c r="A45" s="34" t="s">
        <v>24</v>
      </c>
      <c r="B45" s="413" t="s">
        <v>592</v>
      </c>
      <c r="C45" s="423"/>
      <c r="D45" s="349" t="s">
        <v>229</v>
      </c>
      <c r="E45" s="349">
        <v>0.04</v>
      </c>
      <c r="F45" s="451">
        <v>9681.79</v>
      </c>
      <c r="G45" s="452"/>
      <c r="H45" s="59"/>
      <c r="I45" s="59"/>
      <c r="J45" s="59"/>
      <c r="K45" s="59"/>
    </row>
    <row r="46" spans="1:11" s="67" customFormat="1" ht="24" customHeight="1">
      <c r="A46" s="34" t="s">
        <v>103</v>
      </c>
      <c r="B46" s="413" t="s">
        <v>663</v>
      </c>
      <c r="C46" s="423"/>
      <c r="D46" s="349" t="s">
        <v>230</v>
      </c>
      <c r="E46" s="349">
        <v>0.63</v>
      </c>
      <c r="F46" s="451">
        <v>4648.85</v>
      </c>
      <c r="G46" s="452"/>
      <c r="H46" s="59"/>
      <c r="I46" s="59"/>
      <c r="J46" s="59"/>
      <c r="K46" s="59"/>
    </row>
    <row r="47" spans="1:11" s="67" customFormat="1" ht="24" customHeight="1">
      <c r="A47" s="34" t="s">
        <v>104</v>
      </c>
      <c r="B47" s="413" t="s">
        <v>593</v>
      </c>
      <c r="C47" s="442"/>
      <c r="D47" s="349" t="s">
        <v>166</v>
      </c>
      <c r="E47" s="349">
        <v>2</v>
      </c>
      <c r="F47" s="451">
        <v>44880.48</v>
      </c>
      <c r="G47" s="452"/>
      <c r="H47" s="59"/>
      <c r="I47" s="59"/>
      <c r="J47" s="59"/>
      <c r="K47" s="59"/>
    </row>
    <row r="48" spans="1:11" s="67" customFormat="1" ht="24" customHeight="1">
      <c r="A48" s="34" t="s">
        <v>117</v>
      </c>
      <c r="B48" s="413" t="s">
        <v>586</v>
      </c>
      <c r="C48" s="442"/>
      <c r="D48" s="349" t="s">
        <v>236</v>
      </c>
      <c r="E48" s="349">
        <v>1</v>
      </c>
      <c r="F48" s="451">
        <v>22440.24</v>
      </c>
      <c r="G48" s="452"/>
      <c r="H48" s="59"/>
      <c r="I48" s="59"/>
      <c r="J48" s="59"/>
      <c r="K48" s="59"/>
    </row>
    <row r="49" spans="1:11" s="67" customFormat="1" ht="15.75" customHeight="1">
      <c r="A49" s="34" t="s">
        <v>118</v>
      </c>
      <c r="B49" s="413" t="s">
        <v>588</v>
      </c>
      <c r="C49" s="423"/>
      <c r="D49" s="349" t="s">
        <v>236</v>
      </c>
      <c r="E49" s="349">
        <v>1</v>
      </c>
      <c r="F49" s="451">
        <v>3900</v>
      </c>
      <c r="G49" s="452"/>
      <c r="H49" s="59"/>
      <c r="I49" s="59"/>
      <c r="J49" s="59"/>
      <c r="K49" s="59"/>
    </row>
    <row r="50" spans="1:11" s="67" customFormat="1" ht="17.25" customHeight="1">
      <c r="A50" s="34" t="s">
        <v>119</v>
      </c>
      <c r="B50" s="413" t="s">
        <v>594</v>
      </c>
      <c r="C50" s="423"/>
      <c r="D50" s="349" t="s">
        <v>166</v>
      </c>
      <c r="E50" s="349">
        <v>1</v>
      </c>
      <c r="F50" s="451">
        <v>30108</v>
      </c>
      <c r="G50" s="452"/>
      <c r="H50" s="59"/>
      <c r="I50" s="59"/>
      <c r="J50" s="59"/>
      <c r="K50" s="59"/>
    </row>
    <row r="51" spans="1:11" s="67" customFormat="1" ht="15" customHeight="1">
      <c r="A51" s="34" t="s">
        <v>140</v>
      </c>
      <c r="B51" s="413" t="s">
        <v>595</v>
      </c>
      <c r="C51" s="423"/>
      <c r="D51" s="349" t="s">
        <v>166</v>
      </c>
      <c r="E51" s="349">
        <v>1</v>
      </c>
      <c r="F51" s="451">
        <v>15000</v>
      </c>
      <c r="G51" s="452"/>
      <c r="H51" s="59"/>
      <c r="I51" s="59"/>
      <c r="J51" s="59"/>
      <c r="K51" s="59"/>
    </row>
    <row r="52" spans="1:11" s="67" customFormat="1" ht="18" customHeight="1">
      <c r="A52" s="34" t="s">
        <v>142</v>
      </c>
      <c r="B52" s="382" t="s">
        <v>588</v>
      </c>
      <c r="C52" s="384"/>
      <c r="D52" s="119" t="s">
        <v>166</v>
      </c>
      <c r="E52" s="119">
        <v>1</v>
      </c>
      <c r="F52" s="446">
        <v>2986</v>
      </c>
      <c r="G52" s="447"/>
      <c r="H52" s="59"/>
      <c r="I52" s="59"/>
      <c r="J52" s="59"/>
      <c r="K52" s="59"/>
    </row>
    <row r="53" spans="1:11" s="67" customFormat="1" ht="18" customHeight="1">
      <c r="A53" s="34" t="s">
        <v>143</v>
      </c>
      <c r="B53" s="382" t="s">
        <v>760</v>
      </c>
      <c r="C53" s="384"/>
      <c r="D53" s="119"/>
      <c r="E53" s="119"/>
      <c r="F53" s="449">
        <v>524297.83</v>
      </c>
      <c r="G53" s="450"/>
      <c r="H53" s="59"/>
      <c r="I53" s="59"/>
      <c r="J53" s="59"/>
      <c r="K53" s="59"/>
    </row>
    <row r="54" spans="1:11" s="67" customFormat="1" ht="18" customHeight="1">
      <c r="A54" s="34" t="s">
        <v>287</v>
      </c>
      <c r="B54" s="382" t="s">
        <v>761</v>
      </c>
      <c r="C54" s="384"/>
      <c r="D54" s="119" t="s">
        <v>166</v>
      </c>
      <c r="E54" s="119">
        <v>1</v>
      </c>
      <c r="F54" s="446">
        <v>990</v>
      </c>
      <c r="G54" s="447"/>
      <c r="H54" s="59"/>
      <c r="I54" s="59"/>
      <c r="J54" s="59"/>
      <c r="K54" s="59"/>
    </row>
    <row r="55" spans="1:11" s="67" customFormat="1" ht="19.5" customHeight="1">
      <c r="A55" s="34" t="s">
        <v>314</v>
      </c>
      <c r="B55" s="382" t="s">
        <v>762</v>
      </c>
      <c r="C55" s="384"/>
      <c r="D55" s="119"/>
      <c r="E55" s="119"/>
      <c r="F55" s="446">
        <v>2700</v>
      </c>
      <c r="G55" s="447"/>
      <c r="H55" s="59"/>
      <c r="I55" s="59"/>
      <c r="J55" s="59"/>
      <c r="K55" s="59"/>
    </row>
    <row r="56" spans="1:11" s="67" customFormat="1" ht="18.75" customHeight="1">
      <c r="A56" s="34" t="s">
        <v>317</v>
      </c>
      <c r="B56" s="382" t="s">
        <v>763</v>
      </c>
      <c r="C56" s="384"/>
      <c r="D56" s="119"/>
      <c r="E56" s="119"/>
      <c r="F56" s="446">
        <v>2950</v>
      </c>
      <c r="G56" s="447"/>
      <c r="H56" s="59"/>
      <c r="I56" s="59"/>
      <c r="J56" s="59"/>
      <c r="K56" s="59"/>
    </row>
    <row r="57" spans="1:11" s="67" customFormat="1" ht="18.75" customHeight="1">
      <c r="A57" s="34" t="s">
        <v>318</v>
      </c>
      <c r="B57" s="117" t="s">
        <v>764</v>
      </c>
      <c r="C57" s="118"/>
      <c r="D57" s="119"/>
      <c r="E57" s="119"/>
      <c r="F57" s="446">
        <v>73189.44</v>
      </c>
      <c r="G57" s="447"/>
      <c r="H57" s="59"/>
      <c r="I57" s="59"/>
      <c r="J57" s="59"/>
      <c r="K57" s="59"/>
    </row>
    <row r="58" spans="1:11" s="67" customFormat="1" ht="20.25" customHeight="1">
      <c r="A58" s="34" t="s">
        <v>319</v>
      </c>
      <c r="B58" s="382" t="s">
        <v>765</v>
      </c>
      <c r="C58" s="384"/>
      <c r="D58" s="119"/>
      <c r="E58" s="119"/>
      <c r="F58" s="446">
        <v>3462</v>
      </c>
      <c r="G58" s="447"/>
      <c r="H58" s="59"/>
      <c r="I58" s="59"/>
      <c r="J58" s="59"/>
      <c r="K58" s="59"/>
    </row>
    <row r="59" spans="1:11" s="67" customFormat="1" ht="20.25" customHeight="1">
      <c r="A59" s="34" t="s">
        <v>395</v>
      </c>
      <c r="B59" s="440" t="s">
        <v>191</v>
      </c>
      <c r="C59" s="441"/>
      <c r="D59" s="124"/>
      <c r="E59" s="124"/>
      <c r="F59" s="429">
        <f>E25*1%</f>
        <v>3786.5688</v>
      </c>
      <c r="G59" s="429"/>
      <c r="H59" s="59"/>
      <c r="I59" s="59"/>
      <c r="J59" s="59"/>
      <c r="K59" s="59"/>
    </row>
    <row r="60" spans="1:11" s="67" customFormat="1" ht="20.25" customHeight="1">
      <c r="A60" s="41" t="s">
        <v>315</v>
      </c>
      <c r="B60" s="552" t="s">
        <v>188</v>
      </c>
      <c r="C60" s="553"/>
      <c r="D60" s="278"/>
      <c r="E60" s="278"/>
      <c r="F60" s="554">
        <f>F61+F62</f>
        <v>161280</v>
      </c>
      <c r="G60" s="555"/>
      <c r="H60" s="59"/>
      <c r="I60" s="59"/>
      <c r="J60" s="59"/>
      <c r="K60" s="59"/>
    </row>
    <row r="61" spans="1:11" s="67" customFormat="1" ht="8.25" customHeight="1">
      <c r="A61" s="41"/>
      <c r="B61" s="117"/>
      <c r="C61" s="118"/>
      <c r="D61" s="119"/>
      <c r="E61" s="119"/>
      <c r="F61" s="446"/>
      <c r="G61" s="447"/>
      <c r="H61" s="59"/>
      <c r="I61" s="59"/>
      <c r="J61" s="59"/>
      <c r="K61" s="59"/>
    </row>
    <row r="62" spans="1:7" ht="15">
      <c r="A62" s="34" t="s">
        <v>312</v>
      </c>
      <c r="B62" s="413" t="s">
        <v>316</v>
      </c>
      <c r="C62" s="423"/>
      <c r="D62" s="349"/>
      <c r="E62" s="349"/>
      <c r="F62" s="451">
        <f>13440*12</f>
        <v>161280</v>
      </c>
      <c r="G62" s="452"/>
    </row>
    <row r="63" spans="1:7" ht="12.75">
      <c r="A63" s="59"/>
      <c r="B63" s="59"/>
      <c r="C63" s="59"/>
      <c r="D63" s="59"/>
      <c r="E63" s="59"/>
      <c r="F63" s="59"/>
      <c r="G63" s="59"/>
    </row>
    <row r="64" spans="1:7" ht="15">
      <c r="A64" s="67" t="s">
        <v>55</v>
      </c>
      <c r="B64" s="67"/>
      <c r="C64" s="126" t="s">
        <v>49</v>
      </c>
      <c r="D64" s="67"/>
      <c r="E64" s="67"/>
      <c r="F64" s="67" t="s">
        <v>90</v>
      </c>
      <c r="G64" s="67"/>
    </row>
    <row r="65" spans="1:7" ht="15">
      <c r="A65" s="67"/>
      <c r="B65" s="67"/>
      <c r="C65" s="126"/>
      <c r="D65" s="67"/>
      <c r="E65" s="67"/>
      <c r="F65" s="127" t="s">
        <v>438</v>
      </c>
      <c r="G65" s="67"/>
    </row>
    <row r="66" spans="1:7" ht="15">
      <c r="A66" s="67" t="s">
        <v>50</v>
      </c>
      <c r="B66" s="67"/>
      <c r="C66" s="126"/>
      <c r="D66" s="67"/>
      <c r="E66" s="67"/>
      <c r="F66" s="67"/>
      <c r="G66" s="67"/>
    </row>
    <row r="67" spans="1:7" ht="15">
      <c r="A67" s="67"/>
      <c r="B67" s="67"/>
      <c r="C67" s="128" t="s">
        <v>51</v>
      </c>
      <c r="D67" s="67"/>
      <c r="E67" s="129"/>
      <c r="F67" s="129"/>
      <c r="G67" s="129"/>
    </row>
  </sheetData>
  <sheetProtection/>
  <mergeCells count="57">
    <mergeCell ref="B44:C44"/>
    <mergeCell ref="F44:G44"/>
    <mergeCell ref="B41:C41"/>
    <mergeCell ref="F41:G41"/>
    <mergeCell ref="L37:M38"/>
    <mergeCell ref="B43:C43"/>
    <mergeCell ref="F43:G43"/>
    <mergeCell ref="B39:C39"/>
    <mergeCell ref="F39:G39"/>
    <mergeCell ref="F40:G40"/>
    <mergeCell ref="A37:G37"/>
    <mergeCell ref="B42:C42"/>
    <mergeCell ref="F42:G42"/>
    <mergeCell ref="F46:G46"/>
    <mergeCell ref="B50:C50"/>
    <mergeCell ref="B47:C47"/>
    <mergeCell ref="B49:C49"/>
    <mergeCell ref="F47:G47"/>
    <mergeCell ref="F48:G48"/>
    <mergeCell ref="B45:C45"/>
    <mergeCell ref="A1:K1"/>
    <mergeCell ref="A2:K2"/>
    <mergeCell ref="A3:K3"/>
    <mergeCell ref="A5:K5"/>
    <mergeCell ref="A9:K9"/>
    <mergeCell ref="B40:C40"/>
    <mergeCell ref="A11:K11"/>
    <mergeCell ref="A33:C33"/>
    <mergeCell ref="A10:K10"/>
    <mergeCell ref="A32:F32"/>
    <mergeCell ref="B54:C54"/>
    <mergeCell ref="B55:C55"/>
    <mergeCell ref="F50:G50"/>
    <mergeCell ref="F49:G49"/>
    <mergeCell ref="F45:G45"/>
    <mergeCell ref="B46:C46"/>
    <mergeCell ref="F52:G52"/>
    <mergeCell ref="F53:G53"/>
    <mergeCell ref="B51:C51"/>
    <mergeCell ref="F51:G51"/>
    <mergeCell ref="B62:C62"/>
    <mergeCell ref="F62:G62"/>
    <mergeCell ref="B56:C56"/>
    <mergeCell ref="F61:G61"/>
    <mergeCell ref="F56:G56"/>
    <mergeCell ref="F58:G58"/>
    <mergeCell ref="F57:G57"/>
    <mergeCell ref="B48:C48"/>
    <mergeCell ref="F54:G54"/>
    <mergeCell ref="F55:G55"/>
    <mergeCell ref="B52:C52"/>
    <mergeCell ref="B60:C60"/>
    <mergeCell ref="F60:G60"/>
    <mergeCell ref="B59:C59"/>
    <mergeCell ref="F59:G59"/>
    <mergeCell ref="B58:C58"/>
    <mergeCell ref="B53:C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7030A0"/>
  </sheetPr>
  <dimension ref="A1:N62"/>
  <sheetViews>
    <sheetView zoomScalePageLayoutView="0" workbookViewId="0" topLeftCell="A49">
      <selection activeCell="A56" sqref="A56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224</v>
      </c>
      <c r="H7" s="60"/>
    </row>
    <row r="8" spans="1:8" s="59" customFormat="1" ht="12.75">
      <c r="A8" s="59" t="s">
        <v>3</v>
      </c>
      <c r="F8" s="305" t="s">
        <v>361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'[1]Молодежная 48'!$G$35</f>
        <v>706071.0601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46">
        <f>C17+C18+C19+C20+C21</f>
        <v>11.4</v>
      </c>
      <c r="D16" s="76">
        <v>1412941.95</v>
      </c>
      <c r="E16" s="76">
        <v>1383660.76</v>
      </c>
      <c r="F16" s="76">
        <f>SUM(F17:F21)</f>
        <v>1411732.3728947367</v>
      </c>
      <c r="G16" s="77">
        <f aca="true" t="shared" si="0" ref="G16:G21">D16-E16</f>
        <v>29281.189999999944</v>
      </c>
      <c r="H16" s="78">
        <f aca="true" t="shared" si="1" ref="H16:H21">C16</f>
        <v>11.4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428840.27605263155</v>
      </c>
      <c r="E17" s="83">
        <f>E16*I17</f>
        <v>419953.1780350877</v>
      </c>
      <c r="F17" s="83">
        <f aca="true" t="shared" si="2" ref="F17:F23">D17</f>
        <v>428840.27605263155</v>
      </c>
      <c r="G17" s="84">
        <f t="shared" si="0"/>
        <v>8887.098017543845</v>
      </c>
      <c r="H17" s="78">
        <f t="shared" si="1"/>
        <v>3.46</v>
      </c>
      <c r="I17" s="59">
        <f>H17/H16</f>
        <v>0.30350877192982456</v>
      </c>
    </row>
    <row r="18" spans="1:9" s="59" customFormat="1" ht="15">
      <c r="A18" s="81" t="s">
        <v>18</v>
      </c>
      <c r="B18" s="34" t="s">
        <v>19</v>
      </c>
      <c r="C18" s="85">
        <v>1.69</v>
      </c>
      <c r="D18" s="83">
        <f>D16*I18</f>
        <v>209462.4469736842</v>
      </c>
      <c r="E18" s="83">
        <f>E16*I18</f>
        <v>205121.63898245612</v>
      </c>
      <c r="F18" s="83">
        <f t="shared" si="2"/>
        <v>209462.4469736842</v>
      </c>
      <c r="G18" s="84">
        <f t="shared" si="0"/>
        <v>4340.807991228066</v>
      </c>
      <c r="H18" s="78">
        <f t="shared" si="1"/>
        <v>1.69</v>
      </c>
      <c r="I18" s="59">
        <f>H18/H16</f>
        <v>0.1482456140350877</v>
      </c>
    </row>
    <row r="19" spans="1:9" s="59" customFormat="1" ht="15">
      <c r="A19" s="81" t="s">
        <v>20</v>
      </c>
      <c r="B19" s="34" t="s">
        <v>21</v>
      </c>
      <c r="C19" s="85">
        <v>1.99</v>
      </c>
      <c r="D19" s="83">
        <f>D16*I19</f>
        <v>246645.12986842103</v>
      </c>
      <c r="E19" s="83">
        <f>E16*I19</f>
        <v>241533.76424561403</v>
      </c>
      <c r="F19" s="83">
        <f t="shared" si="2"/>
        <v>246645.12986842103</v>
      </c>
      <c r="G19" s="84">
        <f t="shared" si="0"/>
        <v>5111.365622807003</v>
      </c>
      <c r="H19" s="78">
        <f t="shared" si="1"/>
        <v>1.99</v>
      </c>
      <c r="I19" s="59">
        <f>H19/H16</f>
        <v>0.17456140350877192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376784.51999999996</v>
      </c>
      <c r="E20" s="83">
        <f>E16*I20</f>
        <v>368976.20266666665</v>
      </c>
      <c r="F20" s="83">
        <f t="shared" si="2"/>
        <v>376784.51999999996</v>
      </c>
      <c r="G20" s="84">
        <f t="shared" si="0"/>
        <v>7808.317333333311</v>
      </c>
      <c r="H20" s="78">
        <f t="shared" si="1"/>
        <v>3.04</v>
      </c>
      <c r="I20" s="59">
        <f>H20/H16</f>
        <v>0.26666666666666666</v>
      </c>
    </row>
    <row r="21" spans="1:9" s="274" customFormat="1" ht="15">
      <c r="A21" s="270" t="s">
        <v>24</v>
      </c>
      <c r="B21" s="271" t="s">
        <v>188</v>
      </c>
      <c r="C21" s="82">
        <v>1.22</v>
      </c>
      <c r="D21" s="272">
        <f>D16*I21</f>
        <v>151209.57710526316</v>
      </c>
      <c r="E21" s="272">
        <f>E16*I21</f>
        <v>148075.97607017544</v>
      </c>
      <c r="F21" s="242">
        <f>F56</f>
        <v>150000</v>
      </c>
      <c r="G21" s="84">
        <f t="shared" si="0"/>
        <v>3133.6010350877186</v>
      </c>
      <c r="H21" s="273">
        <f t="shared" si="1"/>
        <v>1.22</v>
      </c>
      <c r="I21" s="274">
        <f>H21/H16</f>
        <v>0.10701754385964912</v>
      </c>
    </row>
    <row r="22" spans="1:11" s="89" customFormat="1" ht="14.25">
      <c r="A22" s="86" t="s">
        <v>25</v>
      </c>
      <c r="B22" s="86" t="s">
        <v>26</v>
      </c>
      <c r="C22" s="46">
        <v>3.86</v>
      </c>
      <c r="D22" s="87">
        <v>474153.82</v>
      </c>
      <c r="E22" s="87">
        <v>469238.19</v>
      </c>
      <c r="F22" s="87">
        <f t="shared" si="2"/>
        <v>474153.82</v>
      </c>
      <c r="G22" s="77">
        <f aca="true" t="shared" si="3" ref="G22:G31">D22-E22</f>
        <v>4915.630000000005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28</v>
      </c>
      <c r="C23" s="46">
        <v>0</v>
      </c>
      <c r="D23" s="87">
        <v>0</v>
      </c>
      <c r="E23" s="87">
        <v>0</v>
      </c>
      <c r="F23" s="87">
        <f t="shared" si="2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234</v>
      </c>
      <c r="C24" s="46">
        <v>100</v>
      </c>
      <c r="D24" s="87">
        <v>232800</v>
      </c>
      <c r="E24" s="87">
        <v>230655.15</v>
      </c>
      <c r="F24" s="87">
        <f>D24</f>
        <v>232800</v>
      </c>
      <c r="G24" s="77">
        <f t="shared" si="3"/>
        <v>2144.850000000006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253411.92</v>
      </c>
      <c r="E25" s="87">
        <v>250793.75</v>
      </c>
      <c r="F25" s="87">
        <f>F40</f>
        <v>282205.92750000005</v>
      </c>
      <c r="G25" s="77">
        <f t="shared" si="3"/>
        <v>2618.170000000013</v>
      </c>
      <c r="H25" s="88"/>
      <c r="I25" s="88"/>
      <c r="J25" s="88"/>
      <c r="K25" s="266"/>
    </row>
    <row r="26" spans="1:12" ht="14.25">
      <c r="A26" s="41" t="s">
        <v>33</v>
      </c>
      <c r="B26" s="41" t="s">
        <v>163</v>
      </c>
      <c r="C26" s="97" t="s">
        <v>334</v>
      </c>
      <c r="D26" s="77">
        <v>0</v>
      </c>
      <c r="E26" s="77">
        <v>0</v>
      </c>
      <c r="F26" s="87">
        <f>D26</f>
        <v>0</v>
      </c>
      <c r="G26" s="77">
        <f t="shared" si="3"/>
        <v>0</v>
      </c>
      <c r="H26" s="98"/>
      <c r="I26" s="98"/>
      <c r="J26" s="98"/>
      <c r="K26" s="98"/>
      <c r="L26" s="218"/>
    </row>
    <row r="27" spans="1:11" ht="14.25">
      <c r="A27" s="41" t="s">
        <v>35</v>
      </c>
      <c r="B27" s="41" t="s">
        <v>36</v>
      </c>
      <c r="C27" s="97"/>
      <c r="D27" s="77">
        <f>SUM(D28:D31)</f>
        <v>6715785.5600000005</v>
      </c>
      <c r="E27" s="77">
        <f>SUM(E28:E31)</f>
        <v>6663801.27</v>
      </c>
      <c r="F27" s="77">
        <f>SUM(F28:F31)</f>
        <v>6715785.5600000005</v>
      </c>
      <c r="G27" s="77">
        <f t="shared" si="3"/>
        <v>51984.29000000097</v>
      </c>
      <c r="H27" s="98"/>
      <c r="I27" s="98"/>
      <c r="J27" s="98"/>
      <c r="K27" s="98"/>
    </row>
    <row r="28" spans="1:7" ht="15">
      <c r="A28" s="34" t="s">
        <v>37</v>
      </c>
      <c r="B28" s="34" t="s">
        <v>174</v>
      </c>
      <c r="C28" s="297" t="s">
        <v>426</v>
      </c>
      <c r="D28" s="84">
        <v>1554792.27</v>
      </c>
      <c r="E28" s="84">
        <v>1530144.3</v>
      </c>
      <c r="F28" s="84">
        <f>D28</f>
        <v>1554792.27</v>
      </c>
      <c r="G28" s="84">
        <f t="shared" si="3"/>
        <v>24647.969999999972</v>
      </c>
    </row>
    <row r="29" spans="1:7" ht="15">
      <c r="A29" s="34" t="s">
        <v>39</v>
      </c>
      <c r="B29" s="34" t="s">
        <v>138</v>
      </c>
      <c r="C29" s="289" t="s">
        <v>409</v>
      </c>
      <c r="D29" s="84">
        <v>729455.81</v>
      </c>
      <c r="E29" s="84">
        <v>760180.58</v>
      </c>
      <c r="F29" s="84">
        <f>D29</f>
        <v>729455.81</v>
      </c>
      <c r="G29" s="84">
        <f t="shared" si="3"/>
        <v>-30724.769999999902</v>
      </c>
    </row>
    <row r="30" spans="1:7" ht="26.25">
      <c r="A30" s="34" t="s">
        <v>42</v>
      </c>
      <c r="B30" s="34" t="s">
        <v>421</v>
      </c>
      <c r="C30" s="49" t="s">
        <v>259</v>
      </c>
      <c r="D30" s="84">
        <v>1093941.75</v>
      </c>
      <c r="E30" s="84">
        <v>1092780.26</v>
      </c>
      <c r="F30" s="84">
        <f>D30</f>
        <v>1093941.75</v>
      </c>
      <c r="G30" s="84">
        <f t="shared" si="3"/>
        <v>1161.4899999999907</v>
      </c>
    </row>
    <row r="31" spans="1:7" ht="15">
      <c r="A31" s="34" t="s">
        <v>41</v>
      </c>
      <c r="B31" s="34" t="s">
        <v>43</v>
      </c>
      <c r="C31" s="297" t="s">
        <v>504</v>
      </c>
      <c r="D31" s="84">
        <v>3337595.73</v>
      </c>
      <c r="E31" s="84">
        <v>3280696.13</v>
      </c>
      <c r="F31" s="84">
        <f>D31</f>
        <v>3337595.73</v>
      </c>
      <c r="G31" s="84">
        <f t="shared" si="3"/>
        <v>56899.60000000009</v>
      </c>
    </row>
    <row r="32" spans="1:9" s="102" customFormat="1" ht="15.7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2084549.77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11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G13+E25-F25</f>
        <v>674658.8825999999</v>
      </c>
      <c r="H35" s="62"/>
      <c r="I35" s="62"/>
      <c r="K35" s="146"/>
    </row>
    <row r="36" spans="1:11" s="102" customFormat="1" ht="13.5">
      <c r="A36" s="104"/>
      <c r="B36" s="104"/>
      <c r="C36" s="104"/>
      <c r="D36" s="104"/>
      <c r="E36" s="101"/>
      <c r="F36" s="101"/>
      <c r="G36" s="101"/>
      <c r="H36" s="101"/>
      <c r="I36" s="101"/>
      <c r="J36" s="101"/>
      <c r="K36" s="101"/>
    </row>
    <row r="37" spans="1:11" ht="31.5" customHeight="1">
      <c r="A37" s="377" t="s">
        <v>182</v>
      </c>
      <c r="B37" s="557"/>
      <c r="C37" s="557"/>
      <c r="D37" s="557"/>
      <c r="E37" s="557"/>
      <c r="F37" s="557"/>
      <c r="G37" s="557"/>
      <c r="H37" s="58"/>
      <c r="I37" s="58"/>
      <c r="J37" s="58"/>
      <c r="K37" s="58"/>
    </row>
    <row r="38" spans="1:7" ht="12.75">
      <c r="A38" s="558"/>
      <c r="B38" s="558"/>
      <c r="C38" s="558"/>
      <c r="D38" s="558"/>
      <c r="E38" s="558"/>
      <c r="F38" s="558"/>
      <c r="G38" s="558"/>
    </row>
    <row r="39" spans="1:12" s="74" customFormat="1" ht="37.5" customHeight="1">
      <c r="A39" s="105" t="s">
        <v>11</v>
      </c>
      <c r="B39" s="401" t="s">
        <v>45</v>
      </c>
      <c r="C39" s="420"/>
      <c r="D39" s="105" t="s">
        <v>165</v>
      </c>
      <c r="E39" s="105" t="s">
        <v>164</v>
      </c>
      <c r="F39" s="401" t="s">
        <v>46</v>
      </c>
      <c r="G39" s="420"/>
      <c r="H39" s="248"/>
      <c r="I39" s="249"/>
      <c r="L39" s="108"/>
    </row>
    <row r="40" spans="1:12" s="115" customFormat="1" ht="15" customHeight="1">
      <c r="A40" s="109" t="s">
        <v>47</v>
      </c>
      <c r="B40" s="403" t="s">
        <v>111</v>
      </c>
      <c r="C40" s="425"/>
      <c r="D40" s="111"/>
      <c r="E40" s="111"/>
      <c r="F40" s="430">
        <f>SUM(F41:J55)</f>
        <v>282205.92750000005</v>
      </c>
      <c r="G40" s="419"/>
      <c r="H40" s="250"/>
      <c r="I40" s="251"/>
      <c r="L40" s="116"/>
    </row>
    <row r="41" spans="1:12" ht="15">
      <c r="A41" s="34" t="s">
        <v>16</v>
      </c>
      <c r="B41" s="413" t="s">
        <v>583</v>
      </c>
      <c r="C41" s="423"/>
      <c r="D41" s="349" t="s">
        <v>166</v>
      </c>
      <c r="E41" s="349">
        <v>30</v>
      </c>
      <c r="F41" s="451">
        <v>5946.9</v>
      </c>
      <c r="G41" s="452"/>
      <c r="H41" s="252"/>
      <c r="I41" s="253"/>
      <c r="L41" s="120"/>
    </row>
    <row r="42" spans="1:12" ht="15">
      <c r="A42" s="34" t="s">
        <v>18</v>
      </c>
      <c r="B42" s="532" t="s">
        <v>584</v>
      </c>
      <c r="C42" s="532"/>
      <c r="D42" s="349" t="s">
        <v>166</v>
      </c>
      <c r="E42" s="349">
        <v>8</v>
      </c>
      <c r="F42" s="431">
        <v>8014.04</v>
      </c>
      <c r="G42" s="431"/>
      <c r="H42" s="40"/>
      <c r="I42" s="40"/>
      <c r="L42" s="120"/>
    </row>
    <row r="43" spans="1:12" ht="15">
      <c r="A43" s="34" t="s">
        <v>20</v>
      </c>
      <c r="B43" s="413" t="s">
        <v>435</v>
      </c>
      <c r="C43" s="423"/>
      <c r="D43" s="349" t="s">
        <v>166</v>
      </c>
      <c r="E43" s="349">
        <v>1</v>
      </c>
      <c r="F43" s="451">
        <v>4000</v>
      </c>
      <c r="G43" s="452"/>
      <c r="H43" s="40"/>
      <c r="I43" s="40"/>
      <c r="L43" s="120"/>
    </row>
    <row r="44" spans="1:12" ht="27" customHeight="1">
      <c r="A44" s="256" t="s">
        <v>22</v>
      </c>
      <c r="B44" s="413" t="s">
        <v>585</v>
      </c>
      <c r="C44" s="442"/>
      <c r="D44" s="349" t="s">
        <v>166</v>
      </c>
      <c r="E44" s="349">
        <v>3</v>
      </c>
      <c r="F44" s="451">
        <v>83270.16</v>
      </c>
      <c r="G44" s="452"/>
      <c r="H44" s="40"/>
      <c r="I44" s="40"/>
      <c r="L44" s="120"/>
    </row>
    <row r="45" spans="1:11" s="67" customFormat="1" ht="30.75" customHeight="1">
      <c r="A45" s="34" t="s">
        <v>24</v>
      </c>
      <c r="B45" s="413" t="s">
        <v>586</v>
      </c>
      <c r="C45" s="442"/>
      <c r="D45" s="349" t="s">
        <v>166</v>
      </c>
      <c r="E45" s="349">
        <v>1</v>
      </c>
      <c r="F45" s="451">
        <v>22440.24</v>
      </c>
      <c r="G45" s="452"/>
      <c r="H45" s="59"/>
      <c r="I45" s="59"/>
      <c r="J45" s="59"/>
      <c r="K45" s="59"/>
    </row>
    <row r="46" spans="1:11" s="67" customFormat="1" ht="18" customHeight="1">
      <c r="A46" s="34" t="s">
        <v>103</v>
      </c>
      <c r="B46" s="413" t="s">
        <v>587</v>
      </c>
      <c r="C46" s="442"/>
      <c r="D46" s="349" t="s">
        <v>166</v>
      </c>
      <c r="E46" s="349">
        <v>1</v>
      </c>
      <c r="F46" s="451">
        <v>28200</v>
      </c>
      <c r="G46" s="452"/>
      <c r="H46" s="59"/>
      <c r="I46" s="59"/>
      <c r="J46" s="59"/>
      <c r="K46" s="59"/>
    </row>
    <row r="47" spans="1:11" s="67" customFormat="1" ht="18" customHeight="1">
      <c r="A47" s="34" t="s">
        <v>104</v>
      </c>
      <c r="B47" s="413" t="s">
        <v>387</v>
      </c>
      <c r="C47" s="442"/>
      <c r="D47" s="349" t="s">
        <v>166</v>
      </c>
      <c r="E47" s="349">
        <v>1</v>
      </c>
      <c r="F47" s="451">
        <v>3462</v>
      </c>
      <c r="G47" s="452"/>
      <c r="H47" s="59"/>
      <c r="I47" s="59"/>
      <c r="J47" s="59"/>
      <c r="K47" s="59"/>
    </row>
    <row r="48" spans="1:11" s="67" customFormat="1" ht="18" customHeight="1">
      <c r="A48" s="34" t="s">
        <v>117</v>
      </c>
      <c r="B48" s="413" t="s">
        <v>588</v>
      </c>
      <c r="C48" s="442"/>
      <c r="D48" s="349" t="s">
        <v>236</v>
      </c>
      <c r="E48" s="349">
        <v>2</v>
      </c>
      <c r="F48" s="451">
        <v>7800</v>
      </c>
      <c r="G48" s="452"/>
      <c r="H48" s="59"/>
      <c r="I48" s="59"/>
      <c r="J48" s="59"/>
      <c r="K48" s="59"/>
    </row>
    <row r="49" spans="1:11" s="67" customFormat="1" ht="18" customHeight="1">
      <c r="A49" s="34" t="s">
        <v>118</v>
      </c>
      <c r="B49" s="382" t="s">
        <v>588</v>
      </c>
      <c r="C49" s="432"/>
      <c r="D49" s="119" t="s">
        <v>166</v>
      </c>
      <c r="E49" s="119">
        <v>2</v>
      </c>
      <c r="F49" s="446">
        <v>5972</v>
      </c>
      <c r="G49" s="447"/>
      <c r="H49" s="59"/>
      <c r="I49" s="59"/>
      <c r="J49" s="59"/>
      <c r="K49" s="59"/>
    </row>
    <row r="50" spans="1:11" s="67" customFormat="1" ht="15" customHeight="1">
      <c r="A50" s="34" t="s">
        <v>119</v>
      </c>
      <c r="B50" s="382" t="s">
        <v>766</v>
      </c>
      <c r="C50" s="432"/>
      <c r="D50" s="119"/>
      <c r="E50" s="119"/>
      <c r="F50" s="449">
        <v>10000</v>
      </c>
      <c r="G50" s="450"/>
      <c r="H50" s="59"/>
      <c r="I50" s="59"/>
      <c r="J50" s="59"/>
      <c r="K50" s="59"/>
    </row>
    <row r="51" spans="1:11" s="67" customFormat="1" ht="15" customHeight="1">
      <c r="A51" s="34" t="s">
        <v>140</v>
      </c>
      <c r="B51" s="382" t="s">
        <v>761</v>
      </c>
      <c r="C51" s="432"/>
      <c r="D51" s="119" t="s">
        <v>166</v>
      </c>
      <c r="E51" s="119">
        <v>1</v>
      </c>
      <c r="F51" s="449">
        <v>2970</v>
      </c>
      <c r="G51" s="450"/>
      <c r="H51" s="59"/>
      <c r="I51" s="59"/>
      <c r="J51" s="59"/>
      <c r="K51" s="59"/>
    </row>
    <row r="52" spans="1:11" s="67" customFormat="1" ht="15" customHeight="1">
      <c r="A52" s="34" t="s">
        <v>142</v>
      </c>
      <c r="B52" s="382" t="s">
        <v>767</v>
      </c>
      <c r="C52" s="432"/>
      <c r="D52" s="119" t="s">
        <v>166</v>
      </c>
      <c r="E52" s="119">
        <v>4</v>
      </c>
      <c r="F52" s="449">
        <v>28440</v>
      </c>
      <c r="G52" s="450"/>
      <c r="H52" s="59"/>
      <c r="I52" s="59"/>
      <c r="J52" s="59"/>
      <c r="K52" s="59"/>
    </row>
    <row r="53" spans="1:11" s="67" customFormat="1" ht="15" customHeight="1">
      <c r="A53" s="34" t="s">
        <v>143</v>
      </c>
      <c r="B53" s="382" t="s">
        <v>768</v>
      </c>
      <c r="C53" s="432"/>
      <c r="D53" s="119"/>
      <c r="E53" s="119"/>
      <c r="F53" s="449">
        <v>67119.85</v>
      </c>
      <c r="G53" s="450"/>
      <c r="H53" s="59"/>
      <c r="I53" s="59"/>
      <c r="J53" s="59"/>
      <c r="K53" s="59"/>
    </row>
    <row r="54" spans="1:11" s="67" customFormat="1" ht="15" customHeight="1">
      <c r="A54" s="34" t="s">
        <v>287</v>
      </c>
      <c r="B54" s="382" t="s">
        <v>769</v>
      </c>
      <c r="C54" s="432"/>
      <c r="D54" s="119"/>
      <c r="E54" s="119"/>
      <c r="F54" s="449">
        <v>2062.8</v>
      </c>
      <c r="G54" s="450"/>
      <c r="H54" s="59"/>
      <c r="I54" s="59"/>
      <c r="J54" s="59"/>
      <c r="K54" s="59"/>
    </row>
    <row r="55" spans="1:11" s="67" customFormat="1" ht="18.75" customHeight="1">
      <c r="A55" s="34" t="s">
        <v>314</v>
      </c>
      <c r="B55" s="440" t="s">
        <v>191</v>
      </c>
      <c r="C55" s="441"/>
      <c r="D55" s="124"/>
      <c r="E55" s="124"/>
      <c r="F55" s="429">
        <f>E25*1%</f>
        <v>2507.9375</v>
      </c>
      <c r="G55" s="429"/>
      <c r="H55" s="59"/>
      <c r="I55" s="59"/>
      <c r="J55" s="59"/>
      <c r="K55" s="59"/>
    </row>
    <row r="56" spans="1:11" s="67" customFormat="1" ht="27.75" customHeight="1">
      <c r="A56" s="41" t="s">
        <v>315</v>
      </c>
      <c r="B56" s="552" t="s">
        <v>188</v>
      </c>
      <c r="C56" s="553"/>
      <c r="D56" s="119"/>
      <c r="E56" s="119"/>
      <c r="F56" s="554">
        <f>F57</f>
        <v>150000</v>
      </c>
      <c r="G56" s="555"/>
      <c r="H56" s="59"/>
      <c r="I56" s="59"/>
      <c r="J56" s="59"/>
      <c r="K56" s="59"/>
    </row>
    <row r="57" spans="1:7" ht="15">
      <c r="A57" s="34" t="s">
        <v>312</v>
      </c>
      <c r="B57" s="413" t="s">
        <v>316</v>
      </c>
      <c r="C57" s="423"/>
      <c r="D57" s="357"/>
      <c r="E57" s="357"/>
      <c r="F57" s="451">
        <f>12500*12</f>
        <v>150000</v>
      </c>
      <c r="G57" s="452"/>
    </row>
    <row r="58" spans="1:7" ht="12.75">
      <c r="A58" s="59"/>
      <c r="B58" s="59"/>
      <c r="C58" s="59"/>
      <c r="D58" s="59"/>
      <c r="E58" s="59"/>
      <c r="F58" s="59"/>
      <c r="G58" s="59"/>
    </row>
    <row r="59" spans="1:7" ht="15">
      <c r="A59" s="67" t="s">
        <v>55</v>
      </c>
      <c r="B59" s="67"/>
      <c r="C59" s="126" t="s">
        <v>49</v>
      </c>
      <c r="D59" s="67"/>
      <c r="E59" s="67"/>
      <c r="F59" s="67" t="s">
        <v>90</v>
      </c>
      <c r="G59" s="67"/>
    </row>
    <row r="60" spans="1:7" ht="15">
      <c r="A60" s="67"/>
      <c r="B60" s="67"/>
      <c r="C60" s="126"/>
      <c r="D60" s="67"/>
      <c r="E60" s="67"/>
      <c r="F60" s="127" t="s">
        <v>438</v>
      </c>
      <c r="G60" s="67"/>
    </row>
    <row r="61" spans="1:7" ht="15">
      <c r="A61" s="67" t="s">
        <v>50</v>
      </c>
      <c r="B61" s="67"/>
      <c r="C61" s="126"/>
      <c r="D61" s="67"/>
      <c r="E61" s="67"/>
      <c r="F61" s="67"/>
      <c r="G61" s="67"/>
    </row>
    <row r="62" spans="1:7" ht="15">
      <c r="A62" s="67"/>
      <c r="B62" s="67"/>
      <c r="C62" s="128" t="s">
        <v>51</v>
      </c>
      <c r="D62" s="67"/>
      <c r="E62" s="129"/>
      <c r="F62" s="129"/>
      <c r="G62" s="129"/>
    </row>
  </sheetData>
  <sheetProtection/>
  <mergeCells count="48">
    <mergeCell ref="F52:G52"/>
    <mergeCell ref="B56:C56"/>
    <mergeCell ref="F56:G56"/>
    <mergeCell ref="B55:C55"/>
    <mergeCell ref="B49:C49"/>
    <mergeCell ref="B50:C50"/>
    <mergeCell ref="F55:G55"/>
    <mergeCell ref="B53:C53"/>
    <mergeCell ref="B54:C54"/>
    <mergeCell ref="F53:G53"/>
    <mergeCell ref="F54:G54"/>
    <mergeCell ref="B51:C51"/>
    <mergeCell ref="B52:C52"/>
    <mergeCell ref="F51:G51"/>
    <mergeCell ref="F48:G48"/>
    <mergeCell ref="F49:G49"/>
    <mergeCell ref="F50:G50"/>
    <mergeCell ref="B41:C41"/>
    <mergeCell ref="F41:G41"/>
    <mergeCell ref="B42:C42"/>
    <mergeCell ref="F42:G42"/>
    <mergeCell ref="B43:C43"/>
    <mergeCell ref="F39:G39"/>
    <mergeCell ref="A37:G38"/>
    <mergeCell ref="A32:F32"/>
    <mergeCell ref="B40:C40"/>
    <mergeCell ref="F40:G40"/>
    <mergeCell ref="F47:G47"/>
    <mergeCell ref="F43:G43"/>
    <mergeCell ref="B39:C39"/>
    <mergeCell ref="B57:C57"/>
    <mergeCell ref="F57:G57"/>
    <mergeCell ref="B44:C44"/>
    <mergeCell ref="F44:G44"/>
    <mergeCell ref="B45:C45"/>
    <mergeCell ref="F45:G45"/>
    <mergeCell ref="B46:C46"/>
    <mergeCell ref="B47:C47"/>
    <mergeCell ref="B48:C48"/>
    <mergeCell ref="F46:G46"/>
    <mergeCell ref="A11:K11"/>
    <mergeCell ref="A33:C33"/>
    <mergeCell ref="A1:K1"/>
    <mergeCell ref="A2:K2"/>
    <mergeCell ref="A3:K3"/>
    <mergeCell ref="A5:K5"/>
    <mergeCell ref="A9:K9"/>
    <mergeCell ref="A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7030A0"/>
  </sheetPr>
  <dimension ref="A1:U60"/>
  <sheetViews>
    <sheetView zoomScale="98" zoomScaleNormal="98" zoomScalePageLayoutView="0" workbookViewId="0" topLeftCell="A44">
      <selection activeCell="A53" sqref="A53"/>
    </sheetView>
  </sheetViews>
  <sheetFormatPr defaultColWidth="9.140625" defaultRowHeight="15" outlineLevelCol="1"/>
  <cols>
    <col min="1" max="1" width="6.00390625" style="57" customWidth="1"/>
    <col min="2" max="2" width="47.140625" style="57" customWidth="1"/>
    <col min="3" max="3" width="10.7109375" style="57" customWidth="1"/>
    <col min="4" max="4" width="14.8515625" style="57" customWidth="1"/>
    <col min="5" max="5" width="13.28125" style="57" customWidth="1"/>
    <col min="6" max="6" width="13.7109375" style="57" customWidth="1"/>
    <col min="7" max="7" width="13.57421875" style="57" customWidth="1"/>
    <col min="8" max="9" width="11.57421875" style="57" hidden="1" customWidth="1" outlineLevel="1"/>
    <col min="10" max="10" width="10.140625" style="57" hidden="1" customWidth="1" outlineLevel="1"/>
    <col min="11" max="11" width="11.8515625" style="57" customWidth="1" collapsed="1"/>
    <col min="12" max="12" width="10.710937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273</v>
      </c>
      <c r="H7" s="60"/>
    </row>
    <row r="8" spans="1:9" s="59" customFormat="1" ht="12.75">
      <c r="A8" s="59" t="s">
        <v>3</v>
      </c>
      <c r="F8" s="305" t="s">
        <v>505</v>
      </c>
      <c r="H8" s="60">
        <v>45.7</v>
      </c>
      <c r="I8" s="61">
        <f>9084.5+45.7</f>
        <v>9130.2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506</v>
      </c>
      <c r="B13" s="64"/>
      <c r="C13" s="64"/>
      <c r="D13" s="69"/>
      <c r="E13" s="70"/>
      <c r="F13" s="70"/>
      <c r="G13" s="71">
        <f>'[1]Солнечный бульвар 20'!$G$36</f>
        <v>-92695.79559999998</v>
      </c>
      <c r="H13" s="62"/>
      <c r="I13" s="62"/>
    </row>
    <row r="14" spans="1:9" s="67" customFormat="1" ht="15.75" thickBot="1">
      <c r="A14" s="63" t="s">
        <v>507</v>
      </c>
      <c r="B14" s="64"/>
      <c r="C14" s="64"/>
      <c r="D14" s="69"/>
      <c r="E14" s="70"/>
      <c r="F14" s="70"/>
      <c r="G14" s="71">
        <f>'[1]Солнечный бульвар 20'!$G$37</f>
        <v>63484.36999999988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14" s="59" customFormat="1" ht="28.5">
      <c r="A17" s="75" t="s">
        <v>14</v>
      </c>
      <c r="B17" s="41" t="s">
        <v>15</v>
      </c>
      <c r="C17" s="46">
        <f>C18+C19+C20+C21+C22</f>
        <v>13.84</v>
      </c>
      <c r="D17" s="76">
        <v>1518402.29</v>
      </c>
      <c r="E17" s="76">
        <v>1485203.15</v>
      </c>
      <c r="F17" s="76">
        <f aca="true" t="shared" si="0" ref="F17:F24">D17</f>
        <v>1518402.29</v>
      </c>
      <c r="G17" s="77">
        <f aca="true" t="shared" si="1" ref="G17:G22">D17-E17</f>
        <v>33199.14000000013</v>
      </c>
      <c r="H17" s="78">
        <f aca="true" t="shared" si="2" ref="H17:H22">C17</f>
        <v>13.84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379600.5725</v>
      </c>
      <c r="E18" s="83">
        <f>E17*I18</f>
        <v>371300.7875</v>
      </c>
      <c r="F18" s="83">
        <f t="shared" si="0"/>
        <v>379600.5725</v>
      </c>
      <c r="G18" s="84">
        <f t="shared" si="1"/>
        <v>8299.785000000033</v>
      </c>
      <c r="H18" s="78">
        <f t="shared" si="2"/>
        <v>3.46</v>
      </c>
      <c r="I18" s="59">
        <f>H18/H17</f>
        <v>0.25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185411.84032514453</v>
      </c>
      <c r="E19" s="83">
        <f>E17*I19</f>
        <v>181357.8990968208</v>
      </c>
      <c r="F19" s="83">
        <f t="shared" si="0"/>
        <v>185411.84032514453</v>
      </c>
      <c r="G19" s="84">
        <f t="shared" si="1"/>
        <v>4053.9412283237325</v>
      </c>
      <c r="H19" s="78">
        <f t="shared" si="2"/>
        <v>1.69</v>
      </c>
      <c r="I19" s="59">
        <f>H19/H17</f>
        <v>0.12210982658959538</v>
      </c>
    </row>
    <row r="20" spans="1:9" s="59" customFormat="1" ht="15">
      <c r="A20" s="81" t="s">
        <v>20</v>
      </c>
      <c r="B20" s="34" t="s">
        <v>21</v>
      </c>
      <c r="C20" s="82">
        <v>2.15</v>
      </c>
      <c r="D20" s="83">
        <f>D17*I20</f>
        <v>235878.96846098267</v>
      </c>
      <c r="E20" s="83">
        <f>E17*I20</f>
        <v>230721.5876083815</v>
      </c>
      <c r="F20" s="83">
        <f t="shared" si="0"/>
        <v>235878.96846098267</v>
      </c>
      <c r="G20" s="84">
        <f t="shared" si="1"/>
        <v>5157.380852601171</v>
      </c>
      <c r="H20" s="78">
        <f t="shared" si="2"/>
        <v>2.15</v>
      </c>
      <c r="I20" s="59">
        <f>H20/H17</f>
        <v>0.15534682080924855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333521.89028901735</v>
      </c>
      <c r="E21" s="83">
        <f>E17*I21</f>
        <v>326229.5936416185</v>
      </c>
      <c r="F21" s="83">
        <f t="shared" si="0"/>
        <v>333521.89028901735</v>
      </c>
      <c r="G21" s="84">
        <f t="shared" si="1"/>
        <v>7292.296647398849</v>
      </c>
      <c r="H21" s="78">
        <f t="shared" si="2"/>
        <v>3.04</v>
      </c>
      <c r="I21" s="59">
        <f>H21/H17</f>
        <v>0.21965317919075145</v>
      </c>
    </row>
    <row r="22" spans="1:9" s="59" customFormat="1" ht="15">
      <c r="A22" s="81" t="s">
        <v>24</v>
      </c>
      <c r="B22" s="34" t="s">
        <v>183</v>
      </c>
      <c r="C22" s="85">
        <v>3.5</v>
      </c>
      <c r="D22" s="83">
        <f>D17*I22</f>
        <v>383989.01842485555</v>
      </c>
      <c r="E22" s="83">
        <f>E17*I22</f>
        <v>375593.2821531792</v>
      </c>
      <c r="F22" s="83">
        <f t="shared" si="0"/>
        <v>383989.01842485555</v>
      </c>
      <c r="G22" s="84">
        <f t="shared" si="1"/>
        <v>8395.736271676316</v>
      </c>
      <c r="H22" s="78">
        <f t="shared" si="2"/>
        <v>3.5</v>
      </c>
      <c r="I22" s="59">
        <f>H22/H17</f>
        <v>0.25289017341040465</v>
      </c>
    </row>
    <row r="23" spans="1:11" s="89" customFormat="1" ht="14.25">
      <c r="A23" s="86" t="s">
        <v>25</v>
      </c>
      <c r="B23" s="86" t="s">
        <v>26</v>
      </c>
      <c r="C23" s="46">
        <v>3.86</v>
      </c>
      <c r="D23" s="87">
        <v>412699.51</v>
      </c>
      <c r="E23" s="87">
        <v>418874.55</v>
      </c>
      <c r="F23" s="87">
        <f t="shared" si="0"/>
        <v>412699.51</v>
      </c>
      <c r="G23" s="77">
        <f aca="true" t="shared" si="3" ref="G23:G32">D23-E23</f>
        <v>-6175.039999999979</v>
      </c>
      <c r="H23" s="88"/>
      <c r="I23" s="88"/>
      <c r="J23" s="88"/>
      <c r="K23" s="88"/>
    </row>
    <row r="24" spans="1:11" s="89" customFormat="1" ht="14.25">
      <c r="A24" s="86" t="s">
        <v>27</v>
      </c>
      <c r="B24" s="86" t="s">
        <v>28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3"/>
        <v>0</v>
      </c>
      <c r="H24" s="88"/>
      <c r="I24" s="88"/>
      <c r="J24" s="88"/>
      <c r="K24" s="88"/>
    </row>
    <row r="25" spans="1:21" s="89" customFormat="1" ht="28.5">
      <c r="A25" s="86" t="s">
        <v>29</v>
      </c>
      <c r="B25" s="86" t="s">
        <v>396</v>
      </c>
      <c r="C25" s="46">
        <v>7.12</v>
      </c>
      <c r="D25" s="90">
        <v>774008.65</v>
      </c>
      <c r="E25" s="90">
        <v>755795.6</v>
      </c>
      <c r="F25" s="87">
        <f>F53</f>
        <v>507600</v>
      </c>
      <c r="G25" s="77">
        <f>D25-E25</f>
        <v>18213.050000000047</v>
      </c>
      <c r="H25" s="88"/>
      <c r="I25" s="88"/>
      <c r="J25" s="88"/>
      <c r="K25" s="91"/>
      <c r="L25" s="91"/>
      <c r="M25" s="92"/>
      <c r="N25" s="559"/>
      <c r="O25" s="559"/>
      <c r="P25" s="94"/>
      <c r="Q25" s="94"/>
      <c r="R25" s="560"/>
      <c r="S25" s="560"/>
      <c r="T25" s="92"/>
      <c r="U25" s="92"/>
    </row>
    <row r="26" spans="1:12" s="89" customFormat="1" ht="14.25">
      <c r="A26" s="86" t="s">
        <v>31</v>
      </c>
      <c r="B26" s="86" t="s">
        <v>116</v>
      </c>
      <c r="C26" s="95">
        <v>2.06</v>
      </c>
      <c r="D26" s="87">
        <v>225795.22</v>
      </c>
      <c r="E26" s="87">
        <v>220435.21</v>
      </c>
      <c r="F26" s="87">
        <f>F41</f>
        <v>51392.562099999996</v>
      </c>
      <c r="G26" s="77">
        <f t="shared" si="3"/>
        <v>5360.010000000009</v>
      </c>
      <c r="H26" s="88"/>
      <c r="I26" s="88"/>
      <c r="J26" s="88"/>
      <c r="K26" s="96"/>
      <c r="L26" s="96"/>
    </row>
    <row r="27" spans="1:11" ht="14.25">
      <c r="A27" s="41" t="s">
        <v>33</v>
      </c>
      <c r="B27" s="41" t="s">
        <v>163</v>
      </c>
      <c r="C27" s="97" t="s">
        <v>362</v>
      </c>
      <c r="D27" s="77"/>
      <c r="E27" s="77"/>
      <c r="F27" s="87">
        <f>D27</f>
        <v>0</v>
      </c>
      <c r="G27" s="77">
        <f t="shared" si="3"/>
        <v>0</v>
      </c>
      <c r="H27" s="98"/>
      <c r="I27" s="98"/>
      <c r="J27" s="98"/>
      <c r="K27" s="98"/>
    </row>
    <row r="28" spans="1:11" ht="14.25">
      <c r="A28" s="41" t="s">
        <v>35</v>
      </c>
      <c r="B28" s="41" t="s">
        <v>36</v>
      </c>
      <c r="C28" s="97">
        <v>0</v>
      </c>
      <c r="D28" s="77">
        <f>SUM(D29:D32)</f>
        <v>3578390.7</v>
      </c>
      <c r="E28" s="77">
        <f>SUM(E29:E32)</f>
        <v>3523873.1100000003</v>
      </c>
      <c r="F28" s="77">
        <f>SUM(F29:F32)</f>
        <v>3578390.7</v>
      </c>
      <c r="G28" s="77">
        <f t="shared" si="3"/>
        <v>54517.58999999985</v>
      </c>
      <c r="H28" s="98"/>
      <c r="I28" s="98"/>
      <c r="J28" s="98"/>
      <c r="K28" s="98"/>
    </row>
    <row r="29" spans="1:7" ht="15">
      <c r="A29" s="34" t="s">
        <v>37</v>
      </c>
      <c r="B29" s="34" t="s">
        <v>258</v>
      </c>
      <c r="C29" s="297" t="s">
        <v>426</v>
      </c>
      <c r="D29" s="84">
        <v>500342.23</v>
      </c>
      <c r="E29" s="84">
        <v>481773.1</v>
      </c>
      <c r="F29" s="84">
        <f>D29</f>
        <v>500342.23</v>
      </c>
      <c r="G29" s="84">
        <f t="shared" si="3"/>
        <v>18569.130000000005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703469.45</v>
      </c>
      <c r="E30" s="84">
        <v>722657.81</v>
      </c>
      <c r="F30" s="84">
        <f>D30</f>
        <v>703469.45</v>
      </c>
      <c r="G30" s="84">
        <f t="shared" si="3"/>
        <v>-19188.360000000102</v>
      </c>
    </row>
    <row r="31" spans="1:7" ht="26.25">
      <c r="A31" s="34" t="s">
        <v>42</v>
      </c>
      <c r="B31" s="34" t="s">
        <v>421</v>
      </c>
      <c r="C31" s="49" t="s">
        <v>259</v>
      </c>
      <c r="D31" s="84">
        <v>656961.52</v>
      </c>
      <c r="E31" s="84">
        <v>629539.41</v>
      </c>
      <c r="F31" s="84">
        <f>D31</f>
        <v>656961.52</v>
      </c>
      <c r="G31" s="84">
        <f t="shared" si="3"/>
        <v>27422.109999999986</v>
      </c>
    </row>
    <row r="32" spans="1:11" ht="26.25">
      <c r="A32" s="34" t="s">
        <v>41</v>
      </c>
      <c r="B32" s="34" t="s">
        <v>43</v>
      </c>
      <c r="C32" s="49" t="s">
        <v>259</v>
      </c>
      <c r="D32" s="84">
        <v>1717617.5</v>
      </c>
      <c r="E32" s="84">
        <v>1689902.79</v>
      </c>
      <c r="F32" s="84">
        <f>D32</f>
        <v>1717617.5</v>
      </c>
      <c r="G32" s="84">
        <f t="shared" si="3"/>
        <v>27714.709999999963</v>
      </c>
      <c r="K32" s="96"/>
    </row>
    <row r="33" spans="1:9" s="102" customFormat="1" ht="18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</row>
    <row r="34" spans="1:9" s="67" customFormat="1" ht="15.75" thickBot="1">
      <c r="A34" s="391" t="s">
        <v>410</v>
      </c>
      <c r="B34" s="392"/>
      <c r="C34" s="392"/>
      <c r="D34" s="65">
        <v>1064221.88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11" s="67" customFormat="1" ht="15.75" thickBot="1">
      <c r="A36" s="63" t="s">
        <v>413</v>
      </c>
      <c r="B36" s="64"/>
      <c r="C36" s="64"/>
      <c r="D36" s="69"/>
      <c r="E36" s="70"/>
      <c r="F36" s="70"/>
      <c r="G36" s="71">
        <f>G13+E26-F26</f>
        <v>76346.85230000001</v>
      </c>
      <c r="H36" s="62"/>
      <c r="I36" s="62"/>
      <c r="K36" s="103"/>
    </row>
    <row r="37" spans="1:11" s="67" customFormat="1" ht="15.75" thickBot="1">
      <c r="A37" s="63" t="s">
        <v>508</v>
      </c>
      <c r="B37" s="63"/>
      <c r="C37" s="64"/>
      <c r="D37" s="69"/>
      <c r="E37" s="70"/>
      <c r="F37" s="70"/>
      <c r="G37" s="71">
        <f>G14+E25-F25</f>
        <v>311679.96999999986</v>
      </c>
      <c r="H37" s="62"/>
      <c r="I37" s="62"/>
      <c r="K37" s="103"/>
    </row>
    <row r="38" spans="1:11" ht="31.5" customHeight="1">
      <c r="A38" s="377" t="s">
        <v>182</v>
      </c>
      <c r="B38" s="417"/>
      <c r="C38" s="417"/>
      <c r="D38" s="417"/>
      <c r="E38" s="417"/>
      <c r="F38" s="417"/>
      <c r="G38" s="417"/>
      <c r="H38" s="62"/>
      <c r="I38" s="62"/>
      <c r="J38" s="62"/>
      <c r="K38" s="62"/>
    </row>
    <row r="40" spans="1:12" s="74" customFormat="1" ht="37.5" customHeight="1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535" t="s">
        <v>46</v>
      </c>
      <c r="G40" s="535"/>
      <c r="H40" s="106"/>
      <c r="I40" s="107"/>
      <c r="L40" s="108"/>
    </row>
    <row r="41" spans="1:12" s="115" customFormat="1" ht="15" customHeight="1">
      <c r="A41" s="109" t="s">
        <v>47</v>
      </c>
      <c r="B41" s="403" t="s">
        <v>111</v>
      </c>
      <c r="C41" s="425"/>
      <c r="D41" s="111"/>
      <c r="E41" s="111"/>
      <c r="F41" s="543">
        <f>SUM(F42:G52)</f>
        <v>51392.562099999996</v>
      </c>
      <c r="G41" s="544"/>
      <c r="H41" s="113"/>
      <c r="I41" s="114"/>
      <c r="L41" s="116"/>
    </row>
    <row r="42" spans="1:12" ht="27" customHeight="1">
      <c r="A42" s="34" t="s">
        <v>16</v>
      </c>
      <c r="B42" s="413" t="s">
        <v>578</v>
      </c>
      <c r="C42" s="423"/>
      <c r="D42" s="349" t="s">
        <v>236</v>
      </c>
      <c r="E42" s="349">
        <v>3</v>
      </c>
      <c r="F42" s="451">
        <v>20897</v>
      </c>
      <c r="G42" s="452"/>
      <c r="H42" s="40"/>
      <c r="I42" s="40"/>
      <c r="L42" s="120"/>
    </row>
    <row r="43" spans="1:12" ht="17.25" customHeight="1">
      <c r="A43" s="34" t="s">
        <v>18</v>
      </c>
      <c r="B43" s="413" t="s">
        <v>579</v>
      </c>
      <c r="C43" s="423"/>
      <c r="D43" s="349" t="s">
        <v>229</v>
      </c>
      <c r="E43" s="349">
        <v>0.01</v>
      </c>
      <c r="F43" s="451">
        <v>1822.01</v>
      </c>
      <c r="G43" s="452"/>
      <c r="H43" s="40"/>
      <c r="I43" s="40"/>
      <c r="L43" s="120"/>
    </row>
    <row r="44" spans="1:12" ht="17.25" customHeight="1">
      <c r="A44" s="34" t="s">
        <v>20</v>
      </c>
      <c r="B44" s="413" t="s">
        <v>435</v>
      </c>
      <c r="C44" s="423"/>
      <c r="D44" s="349" t="s">
        <v>166</v>
      </c>
      <c r="E44" s="349">
        <v>1</v>
      </c>
      <c r="F44" s="431">
        <v>4000</v>
      </c>
      <c r="G44" s="431"/>
      <c r="H44" s="40"/>
      <c r="I44" s="40"/>
      <c r="L44" s="120"/>
    </row>
    <row r="45" spans="1:12" ht="28.5" customHeight="1">
      <c r="A45" s="34" t="s">
        <v>22</v>
      </c>
      <c r="B45" s="413" t="s">
        <v>580</v>
      </c>
      <c r="C45" s="442"/>
      <c r="D45" s="349" t="s">
        <v>166</v>
      </c>
      <c r="E45" s="353">
        <v>2</v>
      </c>
      <c r="F45" s="431">
        <v>1530</v>
      </c>
      <c r="G45" s="431"/>
      <c r="H45" s="40"/>
      <c r="I45" s="40"/>
      <c r="L45" s="120"/>
    </row>
    <row r="46" spans="1:12" ht="31.5" customHeight="1">
      <c r="A46" s="34" t="s">
        <v>24</v>
      </c>
      <c r="B46" s="413" t="s">
        <v>581</v>
      </c>
      <c r="C46" s="442"/>
      <c r="D46" s="355" t="s">
        <v>166</v>
      </c>
      <c r="E46" s="355">
        <v>1</v>
      </c>
      <c r="F46" s="561">
        <v>732.8</v>
      </c>
      <c r="G46" s="562"/>
      <c r="H46" s="279"/>
      <c r="I46" s="279"/>
      <c r="L46" s="120"/>
    </row>
    <row r="47" spans="1:12" ht="15">
      <c r="A47" s="34" t="s">
        <v>103</v>
      </c>
      <c r="B47" s="413" t="s">
        <v>582</v>
      </c>
      <c r="C47" s="442"/>
      <c r="D47" s="355" t="s">
        <v>166</v>
      </c>
      <c r="E47" s="355">
        <v>5</v>
      </c>
      <c r="F47" s="561">
        <v>5754</v>
      </c>
      <c r="G47" s="562"/>
      <c r="H47" s="279"/>
      <c r="I47" s="279"/>
      <c r="L47" s="120"/>
    </row>
    <row r="48" spans="1:7" ht="15" customHeight="1">
      <c r="A48" s="34" t="s">
        <v>104</v>
      </c>
      <c r="B48" s="413" t="s">
        <v>582</v>
      </c>
      <c r="C48" s="442"/>
      <c r="D48" s="350" t="s">
        <v>236</v>
      </c>
      <c r="E48" s="350">
        <v>3</v>
      </c>
      <c r="F48" s="431">
        <v>3452.4</v>
      </c>
      <c r="G48" s="431"/>
    </row>
    <row r="49" spans="1:7" ht="15">
      <c r="A49" s="34" t="s">
        <v>117</v>
      </c>
      <c r="B49" s="382" t="s">
        <v>770</v>
      </c>
      <c r="C49" s="472"/>
      <c r="D49" s="125"/>
      <c r="E49" s="125"/>
      <c r="F49" s="429">
        <v>10000</v>
      </c>
      <c r="G49" s="429"/>
    </row>
    <row r="50" spans="1:7" ht="15">
      <c r="A50" s="34" t="s">
        <v>118</v>
      </c>
      <c r="B50" s="382" t="s">
        <v>766</v>
      </c>
      <c r="C50" s="472"/>
      <c r="D50" s="125"/>
      <c r="E50" s="125"/>
      <c r="F50" s="429">
        <v>1000</v>
      </c>
      <c r="G50" s="429"/>
    </row>
    <row r="51" spans="1:7" ht="15">
      <c r="A51" s="34" t="s">
        <v>119</v>
      </c>
      <c r="B51" s="382"/>
      <c r="C51" s="472"/>
      <c r="D51" s="125"/>
      <c r="E51" s="125"/>
      <c r="F51" s="429"/>
      <c r="G51" s="429"/>
    </row>
    <row r="52" spans="1:7" ht="15">
      <c r="A52" s="34" t="s">
        <v>140</v>
      </c>
      <c r="B52" s="440" t="s">
        <v>191</v>
      </c>
      <c r="C52" s="441"/>
      <c r="D52" s="111"/>
      <c r="E52" s="111"/>
      <c r="F52" s="564">
        <f>E26*1%</f>
        <v>2204.3521</v>
      </c>
      <c r="G52" s="565"/>
    </row>
    <row r="53" spans="1:7" ht="15">
      <c r="A53" s="109" t="s">
        <v>25</v>
      </c>
      <c r="B53" s="403" t="s">
        <v>396</v>
      </c>
      <c r="C53" s="425"/>
      <c r="D53" s="111"/>
      <c r="E53" s="111"/>
      <c r="F53" s="543">
        <f>SUM(F54:F54)</f>
        <v>507600</v>
      </c>
      <c r="G53" s="563"/>
    </row>
    <row r="54" spans="1:7" ht="15">
      <c r="A54" s="34" t="s">
        <v>312</v>
      </c>
      <c r="B54" s="382" t="s">
        <v>260</v>
      </c>
      <c r="C54" s="384"/>
      <c r="D54" s="125"/>
      <c r="E54" s="125"/>
      <c r="F54" s="429">
        <f>(42300*12)</f>
        <v>507600</v>
      </c>
      <c r="G54" s="429"/>
    </row>
    <row r="55" spans="1:7" ht="15">
      <c r="A55" s="169"/>
      <c r="B55" s="180"/>
      <c r="C55" s="180"/>
      <c r="D55" s="94"/>
      <c r="E55" s="94"/>
      <c r="F55" s="181"/>
      <c r="G55" s="181"/>
    </row>
    <row r="56" spans="1:7" ht="15">
      <c r="A56" s="67" t="s">
        <v>55</v>
      </c>
      <c r="B56" s="59"/>
      <c r="C56" s="59"/>
      <c r="D56" s="67"/>
      <c r="E56" s="67"/>
      <c r="F56" s="67" t="s">
        <v>90</v>
      </c>
      <c r="G56" s="67"/>
    </row>
    <row r="57" spans="1:7" ht="15">
      <c r="A57" s="67"/>
      <c r="B57" s="67"/>
      <c r="C57" s="126" t="s">
        <v>49</v>
      </c>
      <c r="D57" s="67"/>
      <c r="E57" s="67"/>
      <c r="F57" s="127" t="s">
        <v>438</v>
      </c>
      <c r="G57" s="67"/>
    </row>
    <row r="58" spans="1:7" ht="15">
      <c r="A58" s="67" t="s">
        <v>50</v>
      </c>
      <c r="B58" s="67"/>
      <c r="C58" s="126"/>
      <c r="D58" s="67"/>
      <c r="E58" s="67"/>
      <c r="F58" s="67"/>
      <c r="G58" s="67"/>
    </row>
    <row r="59" spans="1:7" ht="15">
      <c r="A59" s="67"/>
      <c r="B59" s="67"/>
      <c r="C59" s="126"/>
      <c r="D59" s="67"/>
      <c r="E59" s="129"/>
      <c r="F59" s="129"/>
      <c r="G59" s="129"/>
    </row>
    <row r="60" spans="2:3" ht="15">
      <c r="B60" s="67"/>
      <c r="C60" s="128" t="s">
        <v>51</v>
      </c>
    </row>
  </sheetData>
  <sheetProtection/>
  <mergeCells count="42">
    <mergeCell ref="F52:G52"/>
    <mergeCell ref="F54:G54"/>
    <mergeCell ref="B43:C43"/>
    <mergeCell ref="F43:G43"/>
    <mergeCell ref="B45:C45"/>
    <mergeCell ref="F45:G45"/>
    <mergeCell ref="F48:G48"/>
    <mergeCell ref="B44:C44"/>
    <mergeCell ref="B53:C53"/>
    <mergeCell ref="F53:G53"/>
    <mergeCell ref="B52:C52"/>
    <mergeCell ref="B47:C47"/>
    <mergeCell ref="B48:C48"/>
    <mergeCell ref="B49:C49"/>
    <mergeCell ref="F42:G42"/>
    <mergeCell ref="F49:G49"/>
    <mergeCell ref="F50:G50"/>
    <mergeCell ref="F51:G51"/>
    <mergeCell ref="F44:G44"/>
    <mergeCell ref="B46:C46"/>
    <mergeCell ref="F46:G46"/>
    <mergeCell ref="F47:G47"/>
    <mergeCell ref="N25:O25"/>
    <mergeCell ref="R25:S25"/>
    <mergeCell ref="A34:C34"/>
    <mergeCell ref="A38:G38"/>
    <mergeCell ref="A33:F33"/>
    <mergeCell ref="B54:C54"/>
    <mergeCell ref="B40:C40"/>
    <mergeCell ref="F40:G40"/>
    <mergeCell ref="B41:C41"/>
    <mergeCell ref="F41:G41"/>
    <mergeCell ref="B50:C50"/>
    <mergeCell ref="B51:C51"/>
    <mergeCell ref="A1:K1"/>
    <mergeCell ref="A2:K2"/>
    <mergeCell ref="A3:K3"/>
    <mergeCell ref="A5:K5"/>
    <mergeCell ref="A9:K9"/>
    <mergeCell ref="A10:K10"/>
    <mergeCell ref="A11:K11"/>
    <mergeCell ref="B42:C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7030A0"/>
  </sheetPr>
  <dimension ref="A1:U65"/>
  <sheetViews>
    <sheetView zoomScale="98" zoomScaleNormal="98" zoomScalePageLayoutView="0" workbookViewId="0" topLeftCell="A51">
      <selection activeCell="A61" sqref="A61"/>
    </sheetView>
  </sheetViews>
  <sheetFormatPr defaultColWidth="9.140625" defaultRowHeight="15" outlineLevelCol="1"/>
  <cols>
    <col min="1" max="1" width="6.00390625" style="57" customWidth="1"/>
    <col min="2" max="2" width="47.140625" style="57" customWidth="1"/>
    <col min="3" max="3" width="10.7109375" style="57" customWidth="1"/>
    <col min="4" max="4" width="14.8515625" style="57" customWidth="1"/>
    <col min="5" max="5" width="13.28125" style="57" customWidth="1"/>
    <col min="6" max="6" width="13.7109375" style="57" customWidth="1"/>
    <col min="7" max="7" width="13.57421875" style="57" customWidth="1"/>
    <col min="8" max="9" width="11.57421875" style="57" hidden="1" customWidth="1" outlineLevel="1"/>
    <col min="10" max="10" width="10.140625" style="57" hidden="1" customWidth="1" outlineLevel="1"/>
    <col min="11" max="11" width="11.8515625" style="57" customWidth="1" collapsed="1"/>
    <col min="12" max="12" width="10.710937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189</v>
      </c>
      <c r="H7" s="60"/>
    </row>
    <row r="8" spans="1:8" s="59" customFormat="1" ht="12.75">
      <c r="A8" s="59" t="s">
        <v>3</v>
      </c>
      <c r="F8" s="305" t="s">
        <v>363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71">
        <f>'[1]Грабцевское шоссе 132 корп.1'!$G$38</f>
        <v>-319243.584209329</v>
      </c>
      <c r="H13" s="62"/>
      <c r="I13" s="62"/>
    </row>
    <row r="14" spans="1:9" s="67" customFormat="1" ht="15.75" thickBot="1">
      <c r="A14" s="63" t="s">
        <v>400</v>
      </c>
      <c r="B14" s="64"/>
      <c r="C14" s="64"/>
      <c r="D14" s="69"/>
      <c r="E14" s="70"/>
      <c r="F14" s="70"/>
      <c r="G14" s="71">
        <f>'[1]Солнечный бульвар 20'!$G$37</f>
        <v>63484.36999999988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14" s="59" customFormat="1" ht="28.5">
      <c r="A17" s="75" t="s">
        <v>14</v>
      </c>
      <c r="B17" s="41" t="s">
        <v>15</v>
      </c>
      <c r="C17" s="46">
        <f>C18+C19+C20+C21+C22</f>
        <v>12.46</v>
      </c>
      <c r="D17" s="76">
        <v>1370979.24</v>
      </c>
      <c r="E17" s="76">
        <v>1380202.64</v>
      </c>
      <c r="F17" s="76">
        <f aca="true" t="shared" si="0" ref="F17:F24">D17</f>
        <v>1370979.24</v>
      </c>
      <c r="G17" s="77">
        <f aca="true" t="shared" si="1" ref="G17:G22">D17-E17</f>
        <v>-9223.399999999907</v>
      </c>
      <c r="H17" s="78">
        <f aca="true" t="shared" si="2" ref="H17:H22">C17</f>
        <v>12.46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380705.3106260032</v>
      </c>
      <c r="E18" s="83">
        <f>E17*I18</f>
        <v>383266.5436918138</v>
      </c>
      <c r="F18" s="83">
        <f t="shared" si="0"/>
        <v>380705.3106260032</v>
      </c>
      <c r="G18" s="84">
        <f t="shared" si="1"/>
        <v>-2561.2330658105784</v>
      </c>
      <c r="H18" s="78">
        <f t="shared" si="2"/>
        <v>3.46</v>
      </c>
      <c r="I18" s="59">
        <f>H18/H17</f>
        <v>0.27768860353130015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185951.43784911715</v>
      </c>
      <c r="E19" s="83">
        <f>E17*I19</f>
        <v>187202.44475120382</v>
      </c>
      <c r="F19" s="83">
        <f t="shared" si="0"/>
        <v>185951.43784911715</v>
      </c>
      <c r="G19" s="84">
        <f t="shared" si="1"/>
        <v>-1251.006902086665</v>
      </c>
      <c r="H19" s="78">
        <f t="shared" si="2"/>
        <v>1.69</v>
      </c>
      <c r="I19" s="59">
        <f>H19/H17</f>
        <v>0.13563402889245585</v>
      </c>
    </row>
    <row r="20" spans="1:9" s="59" customFormat="1" ht="15">
      <c r="A20" s="81" t="s">
        <v>20</v>
      </c>
      <c r="B20" s="34" t="s">
        <v>21</v>
      </c>
      <c r="C20" s="82">
        <v>2.15</v>
      </c>
      <c r="D20" s="83">
        <f>D17*I20</f>
        <v>236565.43868378812</v>
      </c>
      <c r="E20" s="83">
        <f>E17*I20</f>
        <v>238156.9563402889</v>
      </c>
      <c r="F20" s="83">
        <f t="shared" si="0"/>
        <v>236565.43868378812</v>
      </c>
      <c r="G20" s="84">
        <f t="shared" si="1"/>
        <v>-1591.5176565007714</v>
      </c>
      <c r="H20" s="78">
        <f t="shared" si="2"/>
        <v>2.15</v>
      </c>
      <c r="I20" s="59">
        <f>H20/H17</f>
        <v>0.1725521669341894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334492.5272552167</v>
      </c>
      <c r="E21" s="83">
        <f>E17*I21</f>
        <v>336742.85919743177</v>
      </c>
      <c r="F21" s="83">
        <f t="shared" si="0"/>
        <v>334492.5272552167</v>
      </c>
      <c r="G21" s="84">
        <f t="shared" si="1"/>
        <v>-2250.331942215096</v>
      </c>
      <c r="H21" s="78">
        <f t="shared" si="2"/>
        <v>3.04</v>
      </c>
      <c r="I21" s="59">
        <f>H21/H17</f>
        <v>0.24398073836276082</v>
      </c>
    </row>
    <row r="22" spans="1:9" s="59" customFormat="1" ht="15">
      <c r="A22" s="81" t="s">
        <v>24</v>
      </c>
      <c r="B22" s="34" t="s">
        <v>183</v>
      </c>
      <c r="C22" s="85">
        <v>2.12</v>
      </c>
      <c r="D22" s="83">
        <f>D17*I22</f>
        <v>233264.52558587477</v>
      </c>
      <c r="E22" s="83">
        <f>E17*I22</f>
        <v>234833.8360192616</v>
      </c>
      <c r="F22" s="83">
        <f t="shared" si="0"/>
        <v>233264.52558587477</v>
      </c>
      <c r="G22" s="84">
        <f t="shared" si="1"/>
        <v>-1569.310433386825</v>
      </c>
      <c r="H22" s="78">
        <f t="shared" si="2"/>
        <v>2.12</v>
      </c>
      <c r="I22" s="59">
        <f>H22/H17</f>
        <v>0.17014446227929372</v>
      </c>
    </row>
    <row r="23" spans="1:11" s="89" customFormat="1" ht="14.25">
      <c r="A23" s="86" t="s">
        <v>25</v>
      </c>
      <c r="B23" s="86" t="s">
        <v>26</v>
      </c>
      <c r="C23" s="46">
        <v>3.86</v>
      </c>
      <c r="D23" s="87">
        <v>423830.11</v>
      </c>
      <c r="E23" s="87">
        <v>426951.7</v>
      </c>
      <c r="F23" s="87">
        <f t="shared" si="0"/>
        <v>423830.11</v>
      </c>
      <c r="G23" s="77">
        <f aca="true" t="shared" si="3" ref="G23:G34">D23-E23</f>
        <v>-3121.5900000000256</v>
      </c>
      <c r="H23" s="88"/>
      <c r="I23" s="88"/>
      <c r="J23" s="88"/>
      <c r="K23" s="88"/>
    </row>
    <row r="24" spans="1:11" s="89" customFormat="1" ht="14.25">
      <c r="A24" s="86" t="s">
        <v>27</v>
      </c>
      <c r="B24" s="86" t="s">
        <v>92</v>
      </c>
      <c r="C24" s="46">
        <v>0</v>
      </c>
      <c r="D24" s="87">
        <v>-15219.72</v>
      </c>
      <c r="E24" s="87">
        <v>0</v>
      </c>
      <c r="F24" s="87">
        <f t="shared" si="0"/>
        <v>-15219.72</v>
      </c>
      <c r="G24" s="77">
        <f t="shared" si="3"/>
        <v>-15219.72</v>
      </c>
      <c r="H24" s="88"/>
      <c r="I24" s="88"/>
      <c r="J24" s="88"/>
      <c r="K24" s="88"/>
    </row>
    <row r="25" spans="1:21" s="89" customFormat="1" ht="28.5">
      <c r="A25" s="86" t="s">
        <v>29</v>
      </c>
      <c r="B25" s="86" t="s">
        <v>309</v>
      </c>
      <c r="C25" s="46">
        <v>7.12</v>
      </c>
      <c r="D25" s="90">
        <v>782801.4</v>
      </c>
      <c r="E25" s="90">
        <v>789369.22</v>
      </c>
      <c r="F25" s="87">
        <f>F59</f>
        <v>480000</v>
      </c>
      <c r="G25" s="77">
        <f t="shared" si="3"/>
        <v>-6567.819999999949</v>
      </c>
      <c r="H25" s="88"/>
      <c r="I25" s="57">
        <f>C25*9162*12</f>
        <v>782801.28</v>
      </c>
      <c r="J25" s="88"/>
      <c r="K25" s="91"/>
      <c r="L25" s="57"/>
      <c r="M25" s="92"/>
      <c r="N25" s="559"/>
      <c r="O25" s="559"/>
      <c r="P25" s="94"/>
      <c r="Q25" s="94"/>
      <c r="R25" s="560"/>
      <c r="S25" s="560"/>
      <c r="T25" s="92"/>
      <c r="U25" s="92"/>
    </row>
    <row r="26" spans="1:12" s="89" customFormat="1" ht="14.25">
      <c r="A26" s="86" t="s">
        <v>31</v>
      </c>
      <c r="B26" s="86" t="s">
        <v>116</v>
      </c>
      <c r="C26" s="95">
        <v>2.06</v>
      </c>
      <c r="D26" s="87">
        <v>226484.04</v>
      </c>
      <c r="E26" s="87">
        <v>235209.51</v>
      </c>
      <c r="F26" s="87">
        <f>F44</f>
        <v>444797.8051</v>
      </c>
      <c r="G26" s="77">
        <f t="shared" si="3"/>
        <v>-8725.470000000001</v>
      </c>
      <c r="H26" s="88"/>
      <c r="I26" s="96"/>
      <c r="J26" s="88"/>
      <c r="K26" s="96"/>
      <c r="L26" s="96"/>
    </row>
    <row r="27" spans="1:11" ht="14.25">
      <c r="A27" s="41" t="s">
        <v>33</v>
      </c>
      <c r="B27" s="41" t="s">
        <v>163</v>
      </c>
      <c r="C27" s="97" t="s">
        <v>362</v>
      </c>
      <c r="D27" s="77">
        <v>0</v>
      </c>
      <c r="E27" s="77">
        <v>0</v>
      </c>
      <c r="F27" s="87">
        <f>D27</f>
        <v>0</v>
      </c>
      <c r="G27" s="77">
        <f t="shared" si="3"/>
        <v>0</v>
      </c>
      <c r="H27" s="98"/>
      <c r="J27" s="98"/>
      <c r="K27" s="98"/>
    </row>
    <row r="28" spans="1:11" ht="14.25">
      <c r="A28" s="41" t="s">
        <v>35</v>
      </c>
      <c r="B28" s="41" t="s">
        <v>286</v>
      </c>
      <c r="C28" s="97">
        <v>0</v>
      </c>
      <c r="D28" s="77">
        <v>0</v>
      </c>
      <c r="E28" s="77">
        <v>0</v>
      </c>
      <c r="F28" s="76">
        <f>D28</f>
        <v>0</v>
      </c>
      <c r="G28" s="77">
        <f t="shared" si="3"/>
        <v>0</v>
      </c>
      <c r="H28" s="98"/>
      <c r="J28" s="98"/>
      <c r="K28" s="98"/>
    </row>
    <row r="29" spans="1:11" ht="14.25">
      <c r="A29" s="41" t="s">
        <v>204</v>
      </c>
      <c r="B29" s="41" t="s">
        <v>36</v>
      </c>
      <c r="C29" s="97">
        <v>0</v>
      </c>
      <c r="D29" s="77">
        <f>SUM(D30:D33)</f>
        <v>2847117.2800000003</v>
      </c>
      <c r="E29" s="77">
        <f>SUM(E30:E33)</f>
        <v>2906862.7199999997</v>
      </c>
      <c r="F29" s="77">
        <f>SUM(F30:F33)</f>
        <v>2847117.2800000003</v>
      </c>
      <c r="G29" s="77">
        <f t="shared" si="3"/>
        <v>-59745.43999999948</v>
      </c>
      <c r="H29" s="98"/>
      <c r="I29" s="98"/>
      <c r="J29" s="98"/>
      <c r="K29" s="98"/>
    </row>
    <row r="30" spans="1:7" ht="15">
      <c r="A30" s="34" t="s">
        <v>206</v>
      </c>
      <c r="B30" s="34" t="s">
        <v>258</v>
      </c>
      <c r="C30" s="297" t="s">
        <v>510</v>
      </c>
      <c r="D30" s="84">
        <v>221018.38</v>
      </c>
      <c r="E30" s="84">
        <v>222118.41</v>
      </c>
      <c r="F30" s="84">
        <f>D30</f>
        <v>221018.38</v>
      </c>
      <c r="G30" s="84">
        <f t="shared" si="3"/>
        <v>-1100.0299999999988</v>
      </c>
    </row>
    <row r="31" spans="1:7" ht="15">
      <c r="A31" s="34" t="s">
        <v>207</v>
      </c>
      <c r="B31" s="34" t="s">
        <v>138</v>
      </c>
      <c r="C31" s="289" t="s">
        <v>409</v>
      </c>
      <c r="D31" s="84">
        <v>560237.39</v>
      </c>
      <c r="E31" s="84">
        <v>588907.7</v>
      </c>
      <c r="F31" s="84">
        <f>D31</f>
        <v>560237.39</v>
      </c>
      <c r="G31" s="84">
        <f t="shared" si="3"/>
        <v>-28670.30999999994</v>
      </c>
    </row>
    <row r="32" spans="1:7" ht="26.25">
      <c r="A32" s="34" t="s">
        <v>208</v>
      </c>
      <c r="B32" s="34" t="s">
        <v>421</v>
      </c>
      <c r="C32" s="49" t="s">
        <v>259</v>
      </c>
      <c r="D32" s="84">
        <v>684748.24</v>
      </c>
      <c r="E32" s="84">
        <v>715194.34</v>
      </c>
      <c r="F32" s="84">
        <f>D32</f>
        <v>684748.24</v>
      </c>
      <c r="G32" s="84">
        <f t="shared" si="3"/>
        <v>-30446.099999999977</v>
      </c>
    </row>
    <row r="33" spans="1:11" ht="26.25">
      <c r="A33" s="34" t="s">
        <v>209</v>
      </c>
      <c r="B33" s="34" t="s">
        <v>43</v>
      </c>
      <c r="C33" s="49" t="s">
        <v>259</v>
      </c>
      <c r="D33" s="84">
        <v>1381113.27</v>
      </c>
      <c r="E33" s="84">
        <v>1380642.27</v>
      </c>
      <c r="F33" s="84">
        <f>D33</f>
        <v>1381113.27</v>
      </c>
      <c r="G33" s="84">
        <f t="shared" si="3"/>
        <v>471</v>
      </c>
      <c r="K33" s="96"/>
    </row>
    <row r="34" spans="1:9" s="102" customFormat="1" ht="33" customHeight="1">
      <c r="A34" s="52" t="s">
        <v>306</v>
      </c>
      <c r="B34" s="333" t="s">
        <v>374</v>
      </c>
      <c r="C34" s="340"/>
      <c r="D34" s="336">
        <f>9600+3600+3600+3000</f>
        <v>19800</v>
      </c>
      <c r="E34" s="336">
        <f>9570+3600+2700+3000</f>
        <v>18870</v>
      </c>
      <c r="F34" s="336">
        <v>0</v>
      </c>
      <c r="G34" s="291">
        <f t="shared" si="3"/>
        <v>930</v>
      </c>
      <c r="H34" s="101"/>
      <c r="I34" s="101"/>
    </row>
    <row r="35" spans="1:9" s="102" customFormat="1" ht="19.5" customHeight="1" thickBot="1">
      <c r="A35" s="379" t="s">
        <v>328</v>
      </c>
      <c r="B35" s="380"/>
      <c r="C35" s="380"/>
      <c r="D35" s="381"/>
      <c r="E35" s="381"/>
      <c r="F35" s="381"/>
      <c r="G35" s="171"/>
      <c r="H35" s="101"/>
      <c r="I35" s="101"/>
    </row>
    <row r="36" spans="1:9" s="67" customFormat="1" ht="15.75" thickBot="1">
      <c r="A36" s="391" t="s">
        <v>410</v>
      </c>
      <c r="B36" s="392"/>
      <c r="C36" s="416"/>
      <c r="D36" s="275">
        <v>1087751.5</v>
      </c>
      <c r="E36" s="66"/>
      <c r="F36" s="66"/>
      <c r="G36" s="66"/>
      <c r="H36" s="62"/>
      <c r="I36" s="62"/>
    </row>
    <row r="37" spans="1:9" s="67" customFormat="1" ht="6" customHeight="1" thickBot="1">
      <c r="A37" s="68"/>
      <c r="B37" s="68"/>
      <c r="C37" s="68"/>
      <c r="D37" s="40"/>
      <c r="E37" s="66"/>
      <c r="F37" s="66"/>
      <c r="G37" s="66"/>
      <c r="H37" s="62"/>
      <c r="I37" s="62"/>
    </row>
    <row r="38" spans="1:11" s="67" customFormat="1" ht="15.75" thickBot="1">
      <c r="A38" s="63" t="s">
        <v>413</v>
      </c>
      <c r="B38" s="64"/>
      <c r="C38" s="64"/>
      <c r="D38" s="69"/>
      <c r="E38" s="70"/>
      <c r="F38" s="70"/>
      <c r="G38" s="71">
        <f>G13+E26-F26+E28-F28</f>
        <v>-528831.879309329</v>
      </c>
      <c r="H38" s="62"/>
      <c r="I38" s="62"/>
      <c r="K38" s="103"/>
    </row>
    <row r="39" spans="1:11" s="67" customFormat="1" ht="15.75" thickBot="1">
      <c r="A39" s="63" t="s">
        <v>509</v>
      </c>
      <c r="B39" s="64"/>
      <c r="C39" s="64"/>
      <c r="D39" s="69"/>
      <c r="E39" s="70"/>
      <c r="F39" s="70"/>
      <c r="G39" s="71">
        <f>G14+E25-F25</f>
        <v>372853.58999999985</v>
      </c>
      <c r="H39" s="62"/>
      <c r="I39" s="62"/>
      <c r="K39" s="103"/>
    </row>
    <row r="40" spans="1:11" s="102" customFormat="1" ht="13.5">
      <c r="A40" s="104"/>
      <c r="B40" s="104"/>
      <c r="C40" s="104"/>
      <c r="D40" s="104"/>
      <c r="E40" s="101"/>
      <c r="F40" s="101"/>
      <c r="G40" s="101"/>
      <c r="H40" s="101"/>
      <c r="I40" s="101"/>
      <c r="J40" s="101"/>
      <c r="K40" s="101"/>
    </row>
    <row r="41" spans="1:11" ht="31.5" customHeight="1">
      <c r="A41" s="377" t="s">
        <v>182</v>
      </c>
      <c r="B41" s="417"/>
      <c r="C41" s="417"/>
      <c r="D41" s="417"/>
      <c r="E41" s="417"/>
      <c r="F41" s="417"/>
      <c r="G41" s="417"/>
      <c r="H41" s="62"/>
      <c r="I41" s="62"/>
      <c r="J41" s="62"/>
      <c r="K41" s="62"/>
    </row>
    <row r="43" spans="1:12" s="74" customFormat="1" ht="37.5" customHeight="1">
      <c r="A43" s="105" t="s">
        <v>11</v>
      </c>
      <c r="B43" s="401" t="s">
        <v>45</v>
      </c>
      <c r="C43" s="420"/>
      <c r="D43" s="105" t="s">
        <v>165</v>
      </c>
      <c r="E43" s="105" t="s">
        <v>164</v>
      </c>
      <c r="F43" s="535" t="s">
        <v>46</v>
      </c>
      <c r="G43" s="535"/>
      <c r="H43" s="106"/>
      <c r="I43" s="107"/>
      <c r="L43" s="108"/>
    </row>
    <row r="44" spans="1:12" s="115" customFormat="1" ht="15" customHeight="1">
      <c r="A44" s="109" t="s">
        <v>47</v>
      </c>
      <c r="B44" s="403" t="s">
        <v>111</v>
      </c>
      <c r="C44" s="425"/>
      <c r="D44" s="111"/>
      <c r="E44" s="111"/>
      <c r="F44" s="543">
        <f>SUM(F45:G58)</f>
        <v>444797.8051</v>
      </c>
      <c r="G44" s="544"/>
      <c r="H44" s="113"/>
      <c r="I44" s="114"/>
      <c r="L44" s="116"/>
    </row>
    <row r="45" spans="1:12" ht="15">
      <c r="A45" s="34" t="s">
        <v>16</v>
      </c>
      <c r="B45" s="413" t="s">
        <v>572</v>
      </c>
      <c r="C45" s="423"/>
      <c r="D45" s="349" t="s">
        <v>236</v>
      </c>
      <c r="E45" s="353">
        <v>1</v>
      </c>
      <c r="F45" s="451">
        <v>1068</v>
      </c>
      <c r="G45" s="452"/>
      <c r="H45" s="40"/>
      <c r="I45" s="40"/>
      <c r="L45" s="120"/>
    </row>
    <row r="46" spans="1:12" ht="15" customHeight="1">
      <c r="A46" s="34" t="s">
        <v>18</v>
      </c>
      <c r="B46" s="413" t="s">
        <v>573</v>
      </c>
      <c r="C46" s="423"/>
      <c r="D46" s="349" t="s">
        <v>247</v>
      </c>
      <c r="E46" s="349">
        <v>0.01</v>
      </c>
      <c r="F46" s="431">
        <v>1195.13</v>
      </c>
      <c r="G46" s="431"/>
      <c r="H46" s="40"/>
      <c r="I46" s="40"/>
      <c r="L46" s="120"/>
    </row>
    <row r="47" spans="1:11" s="67" customFormat="1" ht="15">
      <c r="A47" s="34" t="s">
        <v>20</v>
      </c>
      <c r="B47" s="413" t="s">
        <v>574</v>
      </c>
      <c r="C47" s="423"/>
      <c r="D47" s="349" t="s">
        <v>236</v>
      </c>
      <c r="E47" s="349">
        <v>1</v>
      </c>
      <c r="F47" s="431">
        <v>4982</v>
      </c>
      <c r="G47" s="431"/>
      <c r="H47" s="59"/>
      <c r="I47" s="59"/>
      <c r="J47" s="59"/>
      <c r="K47" s="59"/>
    </row>
    <row r="48" spans="1:11" s="67" customFormat="1" ht="15">
      <c r="A48" s="34" t="s">
        <v>22</v>
      </c>
      <c r="B48" s="413" t="s">
        <v>575</v>
      </c>
      <c r="C48" s="423"/>
      <c r="D48" s="349" t="s">
        <v>247</v>
      </c>
      <c r="E48" s="349">
        <v>1.18</v>
      </c>
      <c r="F48" s="431">
        <v>180444.82</v>
      </c>
      <c r="G48" s="431"/>
      <c r="H48" s="59"/>
      <c r="I48" s="59"/>
      <c r="J48" s="59"/>
      <c r="K48" s="59"/>
    </row>
    <row r="49" spans="1:7" s="59" customFormat="1" ht="15">
      <c r="A49" s="34" t="s">
        <v>24</v>
      </c>
      <c r="B49" s="413" t="s">
        <v>576</v>
      </c>
      <c r="C49" s="423"/>
      <c r="D49" s="349" t="s">
        <v>236</v>
      </c>
      <c r="E49" s="349">
        <v>1</v>
      </c>
      <c r="F49" s="431">
        <v>195864.8</v>
      </c>
      <c r="G49" s="431"/>
    </row>
    <row r="50" spans="1:7" s="59" customFormat="1" ht="15">
      <c r="A50" s="256" t="s">
        <v>103</v>
      </c>
      <c r="B50" s="413" t="s">
        <v>577</v>
      </c>
      <c r="C50" s="423"/>
      <c r="D50" s="349" t="s">
        <v>236</v>
      </c>
      <c r="E50" s="349">
        <v>12</v>
      </c>
      <c r="F50" s="431">
        <v>1740</v>
      </c>
      <c r="G50" s="431"/>
    </row>
    <row r="51" spans="1:7" s="59" customFormat="1" ht="15">
      <c r="A51" s="34" t="s">
        <v>104</v>
      </c>
      <c r="B51" s="413" t="s">
        <v>577</v>
      </c>
      <c r="C51" s="423"/>
      <c r="D51" s="349" t="s">
        <v>236</v>
      </c>
      <c r="E51" s="349">
        <v>1</v>
      </c>
      <c r="F51" s="431">
        <v>4982</v>
      </c>
      <c r="G51" s="431"/>
    </row>
    <row r="52" spans="1:7" s="59" customFormat="1" ht="15">
      <c r="A52" s="34" t="s">
        <v>117</v>
      </c>
      <c r="B52" s="382" t="s">
        <v>767</v>
      </c>
      <c r="C52" s="384"/>
      <c r="D52" s="119" t="s">
        <v>236</v>
      </c>
      <c r="E52" s="122">
        <v>6</v>
      </c>
      <c r="F52" s="429">
        <v>22500</v>
      </c>
      <c r="G52" s="429"/>
    </row>
    <row r="53" spans="1:7" s="59" customFormat="1" ht="15">
      <c r="A53" s="34" t="s">
        <v>118</v>
      </c>
      <c r="B53" s="382" t="s">
        <v>771</v>
      </c>
      <c r="C53" s="384"/>
      <c r="D53" s="119"/>
      <c r="E53" s="119"/>
      <c r="F53" s="429">
        <v>4447.76</v>
      </c>
      <c r="G53" s="429"/>
    </row>
    <row r="54" spans="1:7" s="59" customFormat="1" ht="15">
      <c r="A54" s="34" t="s">
        <v>119</v>
      </c>
      <c r="B54" s="382" t="s">
        <v>772</v>
      </c>
      <c r="C54" s="384"/>
      <c r="D54" s="119"/>
      <c r="E54" s="119"/>
      <c r="F54" s="429">
        <v>9200</v>
      </c>
      <c r="G54" s="429"/>
    </row>
    <row r="55" spans="1:7" s="59" customFormat="1" ht="15">
      <c r="A55" s="34" t="s">
        <v>140</v>
      </c>
      <c r="B55" s="382" t="s">
        <v>766</v>
      </c>
      <c r="C55" s="384"/>
      <c r="D55" s="119"/>
      <c r="E55" s="119"/>
      <c r="F55" s="429">
        <v>10000</v>
      </c>
      <c r="G55" s="429"/>
    </row>
    <row r="56" spans="1:7" s="59" customFormat="1" ht="15">
      <c r="A56" s="34" t="s">
        <v>142</v>
      </c>
      <c r="B56" s="382" t="s">
        <v>773</v>
      </c>
      <c r="C56" s="384"/>
      <c r="D56" s="119"/>
      <c r="E56" s="119"/>
      <c r="F56" s="429">
        <v>3900</v>
      </c>
      <c r="G56" s="429"/>
    </row>
    <row r="57" spans="1:7" s="59" customFormat="1" ht="15">
      <c r="A57" s="34" t="s">
        <v>143</v>
      </c>
      <c r="B57" s="382" t="s">
        <v>746</v>
      </c>
      <c r="C57" s="384"/>
      <c r="D57" s="119"/>
      <c r="E57" s="119"/>
      <c r="F57" s="429">
        <v>2121.2</v>
      </c>
      <c r="G57" s="429"/>
    </row>
    <row r="58" spans="1:7" ht="15">
      <c r="A58" s="34" t="s">
        <v>287</v>
      </c>
      <c r="B58" s="440" t="s">
        <v>191</v>
      </c>
      <c r="C58" s="441"/>
      <c r="D58" s="124"/>
      <c r="E58" s="124"/>
      <c r="F58" s="429">
        <f>E26*1%</f>
        <v>2352.0951</v>
      </c>
      <c r="G58" s="429"/>
    </row>
    <row r="59" spans="1:7" ht="15">
      <c r="A59" s="109" t="s">
        <v>323</v>
      </c>
      <c r="B59" s="403" t="s">
        <v>309</v>
      </c>
      <c r="C59" s="425"/>
      <c r="D59" s="111"/>
      <c r="E59" s="111"/>
      <c r="F59" s="543">
        <f>SUM(F60:G60)</f>
        <v>480000</v>
      </c>
      <c r="G59" s="544"/>
    </row>
    <row r="60" spans="1:7" ht="15" customHeight="1">
      <c r="A60" s="34" t="s">
        <v>312</v>
      </c>
      <c r="B60" s="413" t="s">
        <v>260</v>
      </c>
      <c r="C60" s="423"/>
      <c r="D60" s="349"/>
      <c r="E60" s="349"/>
      <c r="F60" s="431">
        <f>(40000*12)</f>
        <v>480000</v>
      </c>
      <c r="G60" s="431"/>
    </row>
    <row r="61" spans="1:7" ht="12.75">
      <c r="A61" s="59"/>
      <c r="B61" s="59"/>
      <c r="C61" s="59"/>
      <c r="D61" s="59"/>
      <c r="E61" s="59"/>
      <c r="F61" s="59"/>
      <c r="G61" s="59"/>
    </row>
    <row r="62" spans="1:7" ht="15">
      <c r="A62" s="67" t="s">
        <v>55</v>
      </c>
      <c r="B62" s="67"/>
      <c r="C62" s="126" t="s">
        <v>49</v>
      </c>
      <c r="D62" s="67"/>
      <c r="E62" s="67"/>
      <c r="F62" s="67" t="s">
        <v>90</v>
      </c>
      <c r="G62" s="67"/>
    </row>
    <row r="63" spans="1:7" ht="15">
      <c r="A63" s="67"/>
      <c r="B63" s="67"/>
      <c r="C63" s="126"/>
      <c r="D63" s="67"/>
      <c r="E63" s="67"/>
      <c r="F63" s="127" t="s">
        <v>438</v>
      </c>
      <c r="G63" s="67"/>
    </row>
    <row r="64" spans="1:7" ht="15">
      <c r="A64" s="67" t="s">
        <v>50</v>
      </c>
      <c r="B64" s="67"/>
      <c r="C64" s="126"/>
      <c r="D64" s="67"/>
      <c r="E64" s="67"/>
      <c r="F64" s="67"/>
      <c r="G64" s="67"/>
    </row>
    <row r="65" spans="1:7" ht="15">
      <c r="A65" s="67"/>
      <c r="B65" s="67"/>
      <c r="C65" s="128" t="s">
        <v>51</v>
      </c>
      <c r="D65" s="67"/>
      <c r="E65" s="129"/>
      <c r="F65" s="129"/>
      <c r="G65" s="129"/>
    </row>
  </sheetData>
  <sheetProtection/>
  <mergeCells count="48">
    <mergeCell ref="N25:O25"/>
    <mergeCell ref="B47:C47"/>
    <mergeCell ref="F47:G47"/>
    <mergeCell ref="B44:C44"/>
    <mergeCell ref="F44:G44"/>
    <mergeCell ref="A41:G41"/>
    <mergeCell ref="R25:S25"/>
    <mergeCell ref="B46:C46"/>
    <mergeCell ref="F46:G46"/>
    <mergeCell ref="B45:C45"/>
    <mergeCell ref="F45:G45"/>
    <mergeCell ref="A10:K10"/>
    <mergeCell ref="A36:C36"/>
    <mergeCell ref="B43:C43"/>
    <mergeCell ref="F43:G43"/>
    <mergeCell ref="A35:F35"/>
    <mergeCell ref="A1:K1"/>
    <mergeCell ref="A2:K2"/>
    <mergeCell ref="A3:K3"/>
    <mergeCell ref="A5:K5"/>
    <mergeCell ref="A9:K9"/>
    <mergeCell ref="A11:K11"/>
    <mergeCell ref="F57:G57"/>
    <mergeCell ref="B50:C50"/>
    <mergeCell ref="F50:G50"/>
    <mergeCell ref="B53:C53"/>
    <mergeCell ref="B56:C56"/>
    <mergeCell ref="B57:C57"/>
    <mergeCell ref="B54:C54"/>
    <mergeCell ref="B55:C55"/>
    <mergeCell ref="F48:G48"/>
    <mergeCell ref="B60:C60"/>
    <mergeCell ref="F60:G60"/>
    <mergeCell ref="F51:G51"/>
    <mergeCell ref="F52:G52"/>
    <mergeCell ref="F53:G53"/>
    <mergeCell ref="F56:G56"/>
    <mergeCell ref="B52:C52"/>
    <mergeCell ref="F59:G59"/>
    <mergeCell ref="B48:C48"/>
    <mergeCell ref="B49:C49"/>
    <mergeCell ref="B51:C51"/>
    <mergeCell ref="F54:G54"/>
    <mergeCell ref="F55:G55"/>
    <mergeCell ref="B58:C58"/>
    <mergeCell ref="F58:G58"/>
    <mergeCell ref="B59:C59"/>
    <mergeCell ref="F49:G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40">
      <selection activeCell="B46" sqref="B46:C46"/>
    </sheetView>
  </sheetViews>
  <sheetFormatPr defaultColWidth="9.140625" defaultRowHeight="15" outlineLevelCol="1"/>
  <cols>
    <col min="1" max="1" width="4.7109375" style="35" customWidth="1"/>
    <col min="2" max="2" width="48.28125" style="35" customWidth="1"/>
    <col min="3" max="3" width="12.7109375" style="35" customWidth="1"/>
    <col min="4" max="4" width="13.57421875" style="35" customWidth="1"/>
    <col min="5" max="5" width="15.57421875" style="35" customWidth="1"/>
    <col min="6" max="6" width="12.14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6384" width="9.140625" style="35" customWidth="1"/>
  </cols>
  <sheetData>
    <row r="1" spans="1:9" ht="15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405" t="s">
        <v>52</v>
      </c>
      <c r="B2" s="405"/>
      <c r="C2" s="405"/>
      <c r="D2" s="405"/>
      <c r="E2" s="405"/>
      <c r="F2" s="405"/>
      <c r="G2" s="405"/>
      <c r="H2" s="405"/>
      <c r="I2" s="405"/>
    </row>
    <row r="3" spans="1:11" ht="1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9" ht="12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" customHeight="1">
      <c r="A5" s="406" t="s">
        <v>1</v>
      </c>
      <c r="B5" s="405"/>
      <c r="C5" s="405"/>
      <c r="D5" s="405"/>
      <c r="E5" s="405"/>
      <c r="F5" s="405"/>
      <c r="G5" s="405"/>
      <c r="H5" s="405"/>
      <c r="I5" s="405"/>
    </row>
    <row r="7" spans="1:5" s="67" customFormat="1" ht="16.5" customHeight="1">
      <c r="A7" s="67" t="s">
        <v>2</v>
      </c>
      <c r="E7" s="127" t="s">
        <v>61</v>
      </c>
    </row>
    <row r="8" spans="1:10" s="67" customFormat="1" ht="15">
      <c r="A8" s="67" t="s">
        <v>3</v>
      </c>
      <c r="E8" s="295" t="s">
        <v>62</v>
      </c>
      <c r="I8" s="202">
        <v>273.5</v>
      </c>
      <c r="J8" s="202">
        <v>1005.3</v>
      </c>
    </row>
    <row r="9" s="67" customFormat="1" ht="15"/>
    <row r="10" spans="1:9" s="67" customFormat="1" ht="15">
      <c r="A10" s="378" t="s">
        <v>8</v>
      </c>
      <c r="B10" s="378"/>
      <c r="C10" s="378"/>
      <c r="D10" s="378"/>
      <c r="E10" s="378"/>
      <c r="F10" s="378"/>
      <c r="G10" s="378"/>
      <c r="H10" s="378"/>
      <c r="I10" s="378"/>
    </row>
    <row r="11" spans="1:9" s="67" customFormat="1" ht="15">
      <c r="A11" s="378" t="s">
        <v>9</v>
      </c>
      <c r="B11" s="378"/>
      <c r="C11" s="378"/>
      <c r="D11" s="378"/>
      <c r="E11" s="378"/>
      <c r="F11" s="378"/>
      <c r="G11" s="378"/>
      <c r="H11" s="378"/>
      <c r="I11" s="378"/>
    </row>
    <row r="12" spans="1:9" s="67" customFormat="1" ht="15">
      <c r="A12" s="378" t="s">
        <v>10</v>
      </c>
      <c r="B12" s="378"/>
      <c r="C12" s="378"/>
      <c r="D12" s="378"/>
      <c r="E12" s="378"/>
      <c r="F12" s="378"/>
      <c r="G12" s="378"/>
      <c r="H12" s="378"/>
      <c r="I12" s="378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418</v>
      </c>
      <c r="B14" s="64"/>
      <c r="C14" s="64"/>
      <c r="D14" s="69"/>
      <c r="E14" s="70"/>
      <c r="F14" s="70"/>
      <c r="G14" s="145">
        <f>'[1]Социалистическая 6 к.1'!$G$37</f>
        <v>23604.83</v>
      </c>
      <c r="H14" s="62"/>
      <c r="I14" s="62"/>
    </row>
    <row r="15" spans="1:9" s="67" customFormat="1" ht="15.75" thickBot="1">
      <c r="A15" s="63" t="s">
        <v>365</v>
      </c>
      <c r="B15" s="64"/>
      <c r="C15" s="64"/>
      <c r="D15" s="69"/>
      <c r="E15" s="70"/>
      <c r="F15" s="70"/>
      <c r="G15" s="145">
        <f>'[1]Социалистическая 6 к.1'!$G$38</f>
        <v>-93500.41499999998</v>
      </c>
      <c r="H15" s="62"/>
      <c r="I15" s="62"/>
    </row>
    <row r="16" s="67" customFormat="1" ht="9" customHeight="1"/>
    <row r="17" spans="1:7" s="74" customFormat="1" ht="38.25">
      <c r="A17" s="72" t="s">
        <v>11</v>
      </c>
      <c r="B17" s="72" t="s">
        <v>12</v>
      </c>
      <c r="C17" s="72" t="s">
        <v>91</v>
      </c>
      <c r="D17" s="72" t="s">
        <v>402</v>
      </c>
      <c r="E17" s="72" t="s">
        <v>403</v>
      </c>
      <c r="F17" s="73" t="s">
        <v>404</v>
      </c>
      <c r="G17" s="72" t="s">
        <v>405</v>
      </c>
    </row>
    <row r="18" spans="1:8" s="168" customFormat="1" ht="14.25">
      <c r="A18" s="75" t="s">
        <v>14</v>
      </c>
      <c r="B18" s="41" t="s">
        <v>15</v>
      </c>
      <c r="C18" s="136">
        <f>C19+C20+C21+C22</f>
        <v>10.34</v>
      </c>
      <c r="D18" s="76">
        <v>139392.87</v>
      </c>
      <c r="E18" s="76">
        <v>124500.12</v>
      </c>
      <c r="F18" s="76">
        <f>D18</f>
        <v>139392.87</v>
      </c>
      <c r="G18" s="77">
        <f>D18-E18</f>
        <v>14892.75</v>
      </c>
      <c r="H18" s="137">
        <f>C18</f>
        <v>10.34</v>
      </c>
    </row>
    <row r="19" spans="1:9" s="67" customFormat="1" ht="14.25" customHeight="1">
      <c r="A19" s="81" t="s">
        <v>16</v>
      </c>
      <c r="B19" s="34" t="s">
        <v>17</v>
      </c>
      <c r="C19" s="99">
        <v>3.46</v>
      </c>
      <c r="D19" s="83">
        <f>D18*I19</f>
        <v>46644.035802707935</v>
      </c>
      <c r="E19" s="83">
        <f>E18*I19</f>
        <v>41660.581740812384</v>
      </c>
      <c r="F19" s="83">
        <f>D19</f>
        <v>46644.035802707935</v>
      </c>
      <c r="G19" s="84">
        <f>D19-E19</f>
        <v>4983.454061895551</v>
      </c>
      <c r="H19" s="78">
        <f>C19</f>
        <v>3.46</v>
      </c>
      <c r="I19" s="67">
        <f>H19/H18</f>
        <v>0.33462282398452614</v>
      </c>
    </row>
    <row r="20" spans="1:9" s="67" customFormat="1" ht="15">
      <c r="A20" s="81" t="s">
        <v>18</v>
      </c>
      <c r="B20" s="34" t="s">
        <v>19</v>
      </c>
      <c r="C20" s="99">
        <v>1.69</v>
      </c>
      <c r="D20" s="83">
        <f>D18*I20</f>
        <v>22782.78049323017</v>
      </c>
      <c r="E20" s="83">
        <f>E18*I20</f>
        <v>20348.66564796905</v>
      </c>
      <c r="F20" s="83">
        <f>D20</f>
        <v>22782.78049323017</v>
      </c>
      <c r="G20" s="84">
        <f>D20-E20</f>
        <v>2434.1148452611196</v>
      </c>
      <c r="H20" s="78">
        <f>C20</f>
        <v>1.69</v>
      </c>
      <c r="I20" s="67">
        <f>H20/H18</f>
        <v>0.1634429400386847</v>
      </c>
    </row>
    <row r="21" spans="1:9" s="67" customFormat="1" ht="15">
      <c r="A21" s="81" t="s">
        <v>20</v>
      </c>
      <c r="B21" s="34" t="s">
        <v>21</v>
      </c>
      <c r="C21" s="99">
        <v>2.15</v>
      </c>
      <c r="D21" s="83">
        <f>D18*I21</f>
        <v>28984.01068665377</v>
      </c>
      <c r="E21" s="83">
        <f>E18*I21</f>
        <v>25887.35570599613</v>
      </c>
      <c r="F21" s="83">
        <f>D21</f>
        <v>28984.01068665377</v>
      </c>
      <c r="G21" s="84">
        <f>D21-E21</f>
        <v>3096.6549806576404</v>
      </c>
      <c r="H21" s="78">
        <f>C21</f>
        <v>2.15</v>
      </c>
      <c r="I21" s="67">
        <f>H21/H18</f>
        <v>0.2079303675048356</v>
      </c>
    </row>
    <row r="22" spans="1:9" s="67" customFormat="1" ht="15">
      <c r="A22" s="81" t="s">
        <v>22</v>
      </c>
      <c r="B22" s="34" t="s">
        <v>23</v>
      </c>
      <c r="C22" s="99">
        <v>3.04</v>
      </c>
      <c r="D22" s="83">
        <f>D18*I22</f>
        <v>40982.04301740813</v>
      </c>
      <c r="E22" s="83">
        <f>E18*I22</f>
        <v>36603.51690522244</v>
      </c>
      <c r="F22" s="83">
        <f>D22</f>
        <v>40982.04301740813</v>
      </c>
      <c r="G22" s="84">
        <f>D22-E22</f>
        <v>4378.526112185689</v>
      </c>
      <c r="H22" s="78">
        <f>C22</f>
        <v>3.04</v>
      </c>
      <c r="I22" s="67">
        <f>H22/H18</f>
        <v>0.2940038684719536</v>
      </c>
    </row>
    <row r="23" spans="1:7" s="39" customFormat="1" ht="14.25">
      <c r="A23" s="41" t="s">
        <v>25</v>
      </c>
      <c r="B23" s="141" t="s">
        <v>26</v>
      </c>
      <c r="C23" s="142">
        <v>0</v>
      </c>
      <c r="D23" s="77">
        <v>0</v>
      </c>
      <c r="E23" s="77">
        <v>0</v>
      </c>
      <c r="F23" s="76">
        <f aca="true" t="shared" si="0" ref="F23:F32">D23</f>
        <v>0</v>
      </c>
      <c r="G23" s="77">
        <f aca="true" t="shared" si="1" ref="G23:G32">D23-E23</f>
        <v>0</v>
      </c>
    </row>
    <row r="24" spans="1:7" s="39" customFormat="1" ht="14.25">
      <c r="A24" s="41" t="s">
        <v>27</v>
      </c>
      <c r="B24" s="141" t="s">
        <v>28</v>
      </c>
      <c r="C24" s="142">
        <v>0</v>
      </c>
      <c r="D24" s="77">
        <v>0</v>
      </c>
      <c r="E24" s="77">
        <v>0</v>
      </c>
      <c r="F24" s="76">
        <f>D24</f>
        <v>0</v>
      </c>
      <c r="G24" s="77">
        <f t="shared" si="1"/>
        <v>0</v>
      </c>
    </row>
    <row r="25" spans="1:7" s="39" customFormat="1" ht="14.25">
      <c r="A25" s="41" t="s">
        <v>29</v>
      </c>
      <c r="B25" s="141" t="s">
        <v>163</v>
      </c>
      <c r="C25" s="142" t="s">
        <v>333</v>
      </c>
      <c r="D25" s="77">
        <v>0</v>
      </c>
      <c r="E25" s="77">
        <v>0</v>
      </c>
      <c r="F25" s="76">
        <f t="shared" si="0"/>
        <v>0</v>
      </c>
      <c r="G25" s="77">
        <f t="shared" si="1"/>
        <v>0</v>
      </c>
    </row>
    <row r="26" spans="1:13" s="39" customFormat="1" ht="14.25">
      <c r="A26" s="41" t="s">
        <v>31</v>
      </c>
      <c r="B26" s="141" t="s">
        <v>116</v>
      </c>
      <c r="C26" s="142">
        <v>2.06</v>
      </c>
      <c r="D26" s="77">
        <v>24851.28</v>
      </c>
      <c r="E26" s="77">
        <v>24804.02</v>
      </c>
      <c r="F26" s="76">
        <f>F44</f>
        <v>40318.0402</v>
      </c>
      <c r="G26" s="77">
        <f t="shared" si="1"/>
        <v>47.2599999999984</v>
      </c>
      <c r="M26" s="182"/>
    </row>
    <row r="27" spans="1:7" s="39" customFormat="1" ht="14.25">
      <c r="A27" s="41" t="s">
        <v>33</v>
      </c>
      <c r="B27" s="135" t="s">
        <v>34</v>
      </c>
      <c r="C27" s="136">
        <v>0</v>
      </c>
      <c r="D27" s="77">
        <v>0</v>
      </c>
      <c r="E27" s="77">
        <v>0</v>
      </c>
      <c r="F27" s="76">
        <f>D27</f>
        <v>0</v>
      </c>
      <c r="G27" s="77">
        <f t="shared" si="1"/>
        <v>0</v>
      </c>
    </row>
    <row r="28" spans="1:7" s="39" customFormat="1" ht="14.25">
      <c r="A28" s="41" t="s">
        <v>35</v>
      </c>
      <c r="B28" s="135" t="s">
        <v>36</v>
      </c>
      <c r="C28" s="136"/>
      <c r="D28" s="77">
        <f>SUM(D29:D32)</f>
        <v>526647.2</v>
      </c>
      <c r="E28" s="77">
        <f>SUM(E29:E32)</f>
        <v>529674.6</v>
      </c>
      <c r="F28" s="76">
        <f t="shared" si="0"/>
        <v>526647.2</v>
      </c>
      <c r="G28" s="77">
        <f t="shared" si="1"/>
        <v>-3027.4000000000233</v>
      </c>
    </row>
    <row r="29" spans="1:7" ht="15">
      <c r="A29" s="34" t="s">
        <v>37</v>
      </c>
      <c r="B29" s="34" t="s">
        <v>167</v>
      </c>
      <c r="C29" s="289" t="s">
        <v>406</v>
      </c>
      <c r="D29" s="84">
        <v>731.4</v>
      </c>
      <c r="E29" s="84">
        <v>734.68</v>
      </c>
      <c r="F29" s="83">
        <f>D29</f>
        <v>731.4</v>
      </c>
      <c r="G29" s="84">
        <f t="shared" si="1"/>
        <v>-3.2799999999999727</v>
      </c>
    </row>
    <row r="30" spans="1:7" ht="15">
      <c r="A30" s="34" t="s">
        <v>39</v>
      </c>
      <c r="B30" s="34" t="s">
        <v>138</v>
      </c>
      <c r="C30" s="289" t="s">
        <v>409</v>
      </c>
      <c r="D30" s="84">
        <v>75742.57</v>
      </c>
      <c r="E30" s="84">
        <v>78490.54</v>
      </c>
      <c r="F30" s="83">
        <f t="shared" si="0"/>
        <v>75742.57</v>
      </c>
      <c r="G30" s="84">
        <f t="shared" si="1"/>
        <v>-2747.9699999999866</v>
      </c>
    </row>
    <row r="31" spans="1:7" ht="15">
      <c r="A31" s="34" t="s">
        <v>42</v>
      </c>
      <c r="B31" s="34" t="s">
        <v>421</v>
      </c>
      <c r="C31" s="290" t="s">
        <v>408</v>
      </c>
      <c r="D31" s="84">
        <v>130979.25</v>
      </c>
      <c r="E31" s="84">
        <v>132368.56</v>
      </c>
      <c r="F31" s="83">
        <f t="shared" si="0"/>
        <v>130979.25</v>
      </c>
      <c r="G31" s="84">
        <f t="shared" si="1"/>
        <v>-1389.3099999999977</v>
      </c>
    </row>
    <row r="32" spans="1:7" ht="15">
      <c r="A32" s="34" t="s">
        <v>41</v>
      </c>
      <c r="B32" s="34" t="s">
        <v>43</v>
      </c>
      <c r="C32" s="289" t="s">
        <v>407</v>
      </c>
      <c r="D32" s="84">
        <v>319193.98</v>
      </c>
      <c r="E32" s="84">
        <v>318080.82</v>
      </c>
      <c r="F32" s="83">
        <f t="shared" si="0"/>
        <v>319193.98</v>
      </c>
      <c r="G32" s="84">
        <f t="shared" si="1"/>
        <v>1113.1599999999744</v>
      </c>
    </row>
    <row r="33" spans="1:7" ht="15">
      <c r="A33" s="296" t="s">
        <v>303</v>
      </c>
      <c r="B33" s="333" t="s">
        <v>304</v>
      </c>
      <c r="C33" s="289"/>
      <c r="D33" s="291">
        <v>8600</v>
      </c>
      <c r="E33" s="291">
        <v>7542</v>
      </c>
      <c r="F33" s="320">
        <v>0</v>
      </c>
      <c r="G33" s="291">
        <f>E33-D33</f>
        <v>-1058</v>
      </c>
    </row>
    <row r="34" spans="1:10" s="102" customFormat="1" ht="23.25" customHeight="1" thickBot="1">
      <c r="A34" s="379" t="s">
        <v>328</v>
      </c>
      <c r="B34" s="380"/>
      <c r="C34" s="380"/>
      <c r="D34" s="381"/>
      <c r="E34" s="381"/>
      <c r="F34" s="381"/>
      <c r="G34" s="101"/>
      <c r="H34" s="101"/>
      <c r="I34" s="101"/>
      <c r="J34" s="101"/>
    </row>
    <row r="35" spans="1:9" s="67" customFormat="1" ht="15.75" thickBot="1">
      <c r="A35" s="391" t="s">
        <v>410</v>
      </c>
      <c r="B35" s="392"/>
      <c r="C35" s="392"/>
      <c r="D35" s="65">
        <v>111714.27</v>
      </c>
      <c r="E35" s="66"/>
      <c r="F35" s="66"/>
      <c r="G35" s="66"/>
      <c r="H35" s="62"/>
      <c r="I35" s="62"/>
    </row>
    <row r="36" spans="1:9" s="67" customFormat="1" ht="6" customHeight="1" thickBot="1">
      <c r="A36" s="68"/>
      <c r="B36" s="68"/>
      <c r="C36" s="68"/>
      <c r="D36" s="40"/>
      <c r="E36" s="66"/>
      <c r="F36" s="66"/>
      <c r="G36" s="66"/>
      <c r="H36" s="62"/>
      <c r="I36" s="62"/>
    </row>
    <row r="37" spans="1:9" s="67" customFormat="1" ht="15.75" thickBot="1">
      <c r="A37" s="63" t="s">
        <v>412</v>
      </c>
      <c r="B37" s="64"/>
      <c r="C37" s="64"/>
      <c r="D37" s="69"/>
      <c r="E37" s="70"/>
      <c r="F37" s="70"/>
      <c r="G37" s="145">
        <f>G14+E27-F27</f>
        <v>23604.83</v>
      </c>
      <c r="H37" s="62"/>
      <c r="I37" s="62"/>
    </row>
    <row r="38" spans="1:9" s="67" customFormat="1" ht="15.75" thickBot="1">
      <c r="A38" s="63" t="s">
        <v>413</v>
      </c>
      <c r="B38" s="64"/>
      <c r="C38" s="64"/>
      <c r="D38" s="69"/>
      <c r="E38" s="70"/>
      <c r="F38" s="70"/>
      <c r="G38" s="145">
        <f>G15+E26-F26</f>
        <v>-109014.43519999998</v>
      </c>
      <c r="H38" s="62"/>
      <c r="I38" s="62"/>
    </row>
    <row r="39" spans="1:9" s="67" customFormat="1" ht="15">
      <c r="A39" s="68"/>
      <c r="B39" s="68"/>
      <c r="C39" s="68"/>
      <c r="D39" s="40"/>
      <c r="E39" s="66"/>
      <c r="F39" s="66"/>
      <c r="G39" s="40"/>
      <c r="H39" s="62"/>
      <c r="I39" s="62"/>
    </row>
    <row r="40" spans="2:5" ht="7.5" customHeight="1">
      <c r="B40" s="155"/>
      <c r="C40" s="155"/>
      <c r="D40" s="155"/>
      <c r="E40" s="155"/>
    </row>
    <row r="41" spans="1:9" ht="24" customHeight="1">
      <c r="A41" s="377" t="s">
        <v>44</v>
      </c>
      <c r="B41" s="377"/>
      <c r="C41" s="377"/>
      <c r="D41" s="377"/>
      <c r="E41" s="377"/>
      <c r="F41" s="377"/>
      <c r="G41" s="377"/>
      <c r="H41" s="377"/>
      <c r="I41" s="377"/>
    </row>
    <row r="43" spans="1:7" s="172" customFormat="1" ht="28.5" customHeight="1">
      <c r="A43" s="105" t="s">
        <v>11</v>
      </c>
      <c r="B43" s="401" t="s">
        <v>45</v>
      </c>
      <c r="C43" s="420"/>
      <c r="D43" s="105" t="s">
        <v>165</v>
      </c>
      <c r="E43" s="105" t="s">
        <v>164</v>
      </c>
      <c r="F43" s="401" t="s">
        <v>46</v>
      </c>
      <c r="G43" s="419"/>
    </row>
    <row r="44" spans="1:7" s="115" customFormat="1" ht="13.5" customHeight="1">
      <c r="A44" s="109" t="s">
        <v>47</v>
      </c>
      <c r="B44" s="403" t="s">
        <v>111</v>
      </c>
      <c r="C44" s="425"/>
      <c r="D44" s="173"/>
      <c r="E44" s="173"/>
      <c r="F44" s="430">
        <f>SUM(F45:G47)</f>
        <v>40318.0402</v>
      </c>
      <c r="G44" s="419"/>
    </row>
    <row r="45" spans="1:7" ht="13.5" customHeight="1">
      <c r="A45" s="34" t="s">
        <v>16</v>
      </c>
      <c r="B45" s="413" t="s">
        <v>678</v>
      </c>
      <c r="C45" s="442"/>
      <c r="D45" s="360" t="s">
        <v>166</v>
      </c>
      <c r="E45" s="354">
        <v>1</v>
      </c>
      <c r="F45" s="418">
        <v>4300</v>
      </c>
      <c r="G45" s="418"/>
    </row>
    <row r="46" spans="1:7" ht="27" customHeight="1">
      <c r="A46" s="34" t="s">
        <v>18</v>
      </c>
      <c r="B46" s="413" t="s">
        <v>376</v>
      </c>
      <c r="C46" s="442"/>
      <c r="D46" s="360" t="s">
        <v>166</v>
      </c>
      <c r="E46" s="354">
        <v>1</v>
      </c>
      <c r="F46" s="418">
        <v>35770</v>
      </c>
      <c r="G46" s="418"/>
    </row>
    <row r="47" spans="1:7" ht="13.5" customHeight="1">
      <c r="A47" s="34" t="s">
        <v>20</v>
      </c>
      <c r="B47" s="440" t="s">
        <v>191</v>
      </c>
      <c r="C47" s="441"/>
      <c r="D47" s="191"/>
      <c r="E47" s="191"/>
      <c r="F47" s="429">
        <f>E26*1%</f>
        <v>248.0402</v>
      </c>
      <c r="G47" s="429"/>
    </row>
    <row r="48" s="67" customFormat="1" ht="15"/>
    <row r="49" spans="1:6" s="67" customFormat="1" ht="15">
      <c r="A49" s="67" t="s">
        <v>55</v>
      </c>
      <c r="C49" s="67" t="s">
        <v>49</v>
      </c>
      <c r="F49" s="67" t="s">
        <v>90</v>
      </c>
    </row>
    <row r="50" s="67" customFormat="1" ht="13.5" customHeight="1">
      <c r="F50" s="127" t="s">
        <v>438</v>
      </c>
    </row>
    <row r="51" s="67" customFormat="1" ht="15">
      <c r="A51" s="67" t="s">
        <v>50</v>
      </c>
    </row>
    <row r="52" spans="3:7" s="67" customFormat="1" ht="15">
      <c r="C52" s="129" t="s">
        <v>51</v>
      </c>
      <c r="E52" s="129"/>
      <c r="F52" s="129"/>
      <c r="G52" s="129"/>
    </row>
    <row r="53" s="67" customFormat="1" ht="15"/>
  </sheetData>
  <sheetProtection/>
  <mergeCells count="20">
    <mergeCell ref="A11:I11"/>
    <mergeCell ref="B45:C45"/>
    <mergeCell ref="A1:I1"/>
    <mergeCell ref="A2:I2"/>
    <mergeCell ref="A5:I5"/>
    <mergeCell ref="A10:I10"/>
    <mergeCell ref="A3:K3"/>
    <mergeCell ref="A12:I12"/>
    <mergeCell ref="A35:C35"/>
    <mergeCell ref="A34:F34"/>
    <mergeCell ref="F44:G44"/>
    <mergeCell ref="F45:G45"/>
    <mergeCell ref="A41:I41"/>
    <mergeCell ref="F47:G47"/>
    <mergeCell ref="F43:G43"/>
    <mergeCell ref="B43:C43"/>
    <mergeCell ref="B44:C44"/>
    <mergeCell ref="B47:C47"/>
    <mergeCell ref="B46:C46"/>
    <mergeCell ref="F46:G46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33">
      <selection activeCell="F43" sqref="F43:G43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218</v>
      </c>
      <c r="H7" s="60"/>
    </row>
    <row r="8" spans="1:10" s="59" customFormat="1" ht="12.75">
      <c r="A8" s="59" t="s">
        <v>3</v>
      </c>
      <c r="F8" s="305" t="s">
        <v>511</v>
      </c>
      <c r="H8" s="60"/>
      <c r="I8" s="61">
        <v>150.2</v>
      </c>
      <c r="J8" s="59">
        <f>1589.5+150.2</f>
        <v>1739.7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3.5" thickBot="1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16.5" customHeight="1" thickBot="1">
      <c r="A12" s="391"/>
      <c r="B12" s="392"/>
      <c r="C12" s="392"/>
      <c r="D12" s="50"/>
      <c r="E12" s="66"/>
      <c r="F12" s="66"/>
      <c r="G12" s="66"/>
      <c r="H12" s="62"/>
      <c r="I12" s="62"/>
    </row>
    <row r="13" spans="1:9" s="67" customFormat="1" ht="6" customHeight="1" thickBot="1">
      <c r="A13" s="68"/>
      <c r="B13" s="68"/>
      <c r="C13" s="68"/>
      <c r="D13" s="40"/>
      <c r="E13" s="66"/>
      <c r="F13" s="66"/>
      <c r="G13" s="66"/>
      <c r="H13" s="62"/>
      <c r="I13" s="62"/>
    </row>
    <row r="14" spans="1:9" s="67" customFormat="1" ht="15.75" thickBot="1">
      <c r="A14" s="63" t="s">
        <v>448</v>
      </c>
      <c r="B14" s="64"/>
      <c r="C14" s="64"/>
      <c r="D14" s="69"/>
      <c r="E14" s="70"/>
      <c r="F14" s="70"/>
      <c r="G14" s="65">
        <f>'[1]Гагарина 9'!$G$35</f>
        <v>73425.03330000001</v>
      </c>
      <c r="H14" s="62"/>
      <c r="I14" s="62"/>
    </row>
    <row r="15" s="59" customFormat="1" ht="6.75" customHeight="1"/>
    <row r="16" spans="1:7" s="74" customFormat="1" ht="38.25">
      <c r="A16" s="72" t="s">
        <v>11</v>
      </c>
      <c r="B16" s="72" t="s">
        <v>12</v>
      </c>
      <c r="C16" s="72" t="s">
        <v>91</v>
      </c>
      <c r="D16" s="72" t="s">
        <v>402</v>
      </c>
      <c r="E16" s="72" t="s">
        <v>403</v>
      </c>
      <c r="F16" s="73" t="s">
        <v>404</v>
      </c>
      <c r="G16" s="72" t="s">
        <v>405</v>
      </c>
    </row>
    <row r="17" spans="1:14" s="59" customFormat="1" ht="14.25">
      <c r="A17" s="75" t="s">
        <v>14</v>
      </c>
      <c r="B17" s="41" t="s">
        <v>15</v>
      </c>
      <c r="C17" s="97">
        <f>C18+C19+C20+C21</f>
        <v>10.18</v>
      </c>
      <c r="D17" s="76">
        <v>211293.48</v>
      </c>
      <c r="E17" s="76">
        <v>238147.07</v>
      </c>
      <c r="F17" s="76">
        <f aca="true" t="shared" si="0" ref="F17:F24">D17</f>
        <v>211293.48</v>
      </c>
      <c r="G17" s="77">
        <f>D17-E17</f>
        <v>-26853.589999999997</v>
      </c>
      <c r="H17" s="78">
        <f>C17</f>
        <v>10.18</v>
      </c>
      <c r="I17" s="79"/>
      <c r="J17" s="79"/>
      <c r="K17" s="79"/>
      <c r="M17" s="78"/>
      <c r="N17" s="80"/>
    </row>
    <row r="18" spans="1:9" s="59" customFormat="1" ht="15">
      <c r="A18" s="81" t="s">
        <v>16</v>
      </c>
      <c r="B18" s="34" t="s">
        <v>17</v>
      </c>
      <c r="C18" s="82">
        <v>3.46</v>
      </c>
      <c r="D18" s="83">
        <f>D17*I18</f>
        <v>71814.8763064833</v>
      </c>
      <c r="E18" s="83">
        <f>E17*I18</f>
        <v>80941.93145383104</v>
      </c>
      <c r="F18" s="83">
        <f t="shared" si="0"/>
        <v>71814.8763064833</v>
      </c>
      <c r="G18" s="84">
        <f>D18-E18</f>
        <v>-9127.055147347739</v>
      </c>
      <c r="H18" s="78">
        <f>C18</f>
        <v>3.46</v>
      </c>
      <c r="I18" s="59">
        <f>H18/H17</f>
        <v>0.33988212180746563</v>
      </c>
    </row>
    <row r="19" spans="1:9" s="59" customFormat="1" ht="15">
      <c r="A19" s="81" t="s">
        <v>18</v>
      </c>
      <c r="B19" s="34" t="s">
        <v>19</v>
      </c>
      <c r="C19" s="82">
        <v>1.69</v>
      </c>
      <c r="D19" s="83">
        <f>D17*I19</f>
        <v>35077.20836935167</v>
      </c>
      <c r="E19" s="83">
        <f>E17*I19</f>
        <v>39535.2208546169</v>
      </c>
      <c r="F19" s="83">
        <f t="shared" si="0"/>
        <v>35077.20836935167</v>
      </c>
      <c r="G19" s="84">
        <f>D19-E19</f>
        <v>-4458.01248526523</v>
      </c>
      <c r="H19" s="78">
        <f>C19</f>
        <v>1.69</v>
      </c>
      <c r="I19" s="59">
        <f>H19/H17</f>
        <v>0.16601178781925344</v>
      </c>
    </row>
    <row r="20" spans="1:9" s="59" customFormat="1" ht="15">
      <c r="A20" s="81" t="s">
        <v>20</v>
      </c>
      <c r="B20" s="34" t="s">
        <v>21</v>
      </c>
      <c r="C20" s="82">
        <v>1.99</v>
      </c>
      <c r="D20" s="83">
        <f>D17*I20</f>
        <v>41303.93174852653</v>
      </c>
      <c r="E20" s="83">
        <f>E17*I20</f>
        <v>46553.30739685658</v>
      </c>
      <c r="F20" s="83">
        <f t="shared" si="0"/>
        <v>41303.93174852653</v>
      </c>
      <c r="G20" s="84">
        <f>D20-E20</f>
        <v>-5249.375648330053</v>
      </c>
      <c r="H20" s="78">
        <f>C20</f>
        <v>1.99</v>
      </c>
      <c r="I20" s="59">
        <f>H20/H17</f>
        <v>0.19548133595284872</v>
      </c>
    </row>
    <row r="21" spans="1:9" s="59" customFormat="1" ht="15">
      <c r="A21" s="81" t="s">
        <v>22</v>
      </c>
      <c r="B21" s="34" t="s">
        <v>23</v>
      </c>
      <c r="C21" s="82">
        <v>3.04</v>
      </c>
      <c r="D21" s="83">
        <f>D17*I21</f>
        <v>63097.46357563851</v>
      </c>
      <c r="E21" s="83">
        <f>E17*I21</f>
        <v>71116.61029469549</v>
      </c>
      <c r="F21" s="83">
        <f t="shared" si="0"/>
        <v>63097.46357563851</v>
      </c>
      <c r="G21" s="84">
        <f>D21-E21</f>
        <v>-8019.146719056982</v>
      </c>
      <c r="H21" s="78">
        <f>C21</f>
        <v>3.04</v>
      </c>
      <c r="I21" s="59">
        <f>H21/H17</f>
        <v>0.29862475442043224</v>
      </c>
    </row>
    <row r="22" spans="1:11" s="89" customFormat="1" ht="14.25">
      <c r="A22" s="86" t="s">
        <v>25</v>
      </c>
      <c r="B22" s="86" t="s">
        <v>26</v>
      </c>
      <c r="C22" s="46">
        <v>3.86</v>
      </c>
      <c r="D22" s="87">
        <v>73428.55</v>
      </c>
      <c r="E22" s="87">
        <v>68171.48</v>
      </c>
      <c r="F22" s="87">
        <v>0</v>
      </c>
      <c r="G22" s="77">
        <f aca="true" t="shared" si="1" ref="G22:G31">D22-E22</f>
        <v>5257.070000000007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235</v>
      </c>
      <c r="C23" s="46">
        <v>1.68</v>
      </c>
      <c r="D23" s="87">
        <v>35072.16</v>
      </c>
      <c r="E23" s="87">
        <v>32782.42</v>
      </c>
      <c r="F23" s="87">
        <f>D23</f>
        <v>35072.16</v>
      </c>
      <c r="G23" s="77">
        <f t="shared" si="1"/>
        <v>2289.7400000000052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30</v>
      </c>
      <c r="C24" s="46">
        <v>0</v>
      </c>
      <c r="D24" s="87">
        <v>0</v>
      </c>
      <c r="E24" s="87">
        <v>0</v>
      </c>
      <c r="F24" s="87">
        <f t="shared" si="0"/>
        <v>0</v>
      </c>
      <c r="G24" s="77">
        <f t="shared" si="1"/>
        <v>0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1.99</v>
      </c>
      <c r="D25" s="87">
        <v>41245.1</v>
      </c>
      <c r="E25" s="87">
        <v>38532.54</v>
      </c>
      <c r="F25" s="87">
        <f>F39</f>
        <v>44291.0554</v>
      </c>
      <c r="G25" s="77">
        <f t="shared" si="1"/>
        <v>2712.5599999999977</v>
      </c>
      <c r="H25" s="88"/>
      <c r="I25" s="88"/>
      <c r="J25" s="88"/>
      <c r="K25" s="88"/>
    </row>
    <row r="26" spans="1:11" ht="14.25">
      <c r="A26" s="41" t="s">
        <v>33</v>
      </c>
      <c r="B26" s="41" t="s">
        <v>163</v>
      </c>
      <c r="C26" s="97">
        <v>12.54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577618.1</v>
      </c>
      <c r="E27" s="77">
        <f>SUM(E28:E31)</f>
        <v>571712.38</v>
      </c>
      <c r="F27" s="77">
        <f>SUM(F28:F31)</f>
        <v>577618.1</v>
      </c>
      <c r="G27" s="77">
        <f t="shared" si="1"/>
        <v>5905.719999999972</v>
      </c>
      <c r="H27" s="98"/>
      <c r="I27" s="98"/>
      <c r="J27" s="98"/>
      <c r="K27" s="98"/>
    </row>
    <row r="28" spans="1:7" ht="15">
      <c r="A28" s="34" t="s">
        <v>37</v>
      </c>
      <c r="B28" s="34" t="s">
        <v>167</v>
      </c>
      <c r="C28" s="297" t="s">
        <v>426</v>
      </c>
      <c r="D28" s="84">
        <v>19775.55</v>
      </c>
      <c r="E28" s="84">
        <v>18432.76</v>
      </c>
      <c r="F28" s="84">
        <f>D28</f>
        <v>19775.55</v>
      </c>
      <c r="G28" s="84">
        <f t="shared" si="1"/>
        <v>1342.7900000000009</v>
      </c>
    </row>
    <row r="29" spans="1:7" ht="15">
      <c r="A29" s="34" t="s">
        <v>39</v>
      </c>
      <c r="B29" s="34" t="s">
        <v>138</v>
      </c>
      <c r="C29" s="289" t="s">
        <v>409</v>
      </c>
      <c r="D29" s="84">
        <v>96621.65</v>
      </c>
      <c r="E29" s="84">
        <v>109552.95</v>
      </c>
      <c r="F29" s="84">
        <f>D29</f>
        <v>96621.65</v>
      </c>
      <c r="G29" s="84">
        <f t="shared" si="1"/>
        <v>-12931.300000000003</v>
      </c>
    </row>
    <row r="30" spans="1:7" ht="15">
      <c r="A30" s="34" t="s">
        <v>42</v>
      </c>
      <c r="B30" s="34" t="s">
        <v>421</v>
      </c>
      <c r="C30" s="290" t="s">
        <v>408</v>
      </c>
      <c r="D30" s="213">
        <v>186331.46</v>
      </c>
      <c r="E30" s="213">
        <v>196189.94</v>
      </c>
      <c r="F30" s="84">
        <f>D30</f>
        <v>186331.46</v>
      </c>
      <c r="G30" s="84">
        <f t="shared" si="1"/>
        <v>-9858.48000000001</v>
      </c>
    </row>
    <row r="31" spans="1:7" ht="15">
      <c r="A31" s="34" t="s">
        <v>41</v>
      </c>
      <c r="B31" s="34" t="s">
        <v>43</v>
      </c>
      <c r="C31" s="289" t="s">
        <v>407</v>
      </c>
      <c r="D31" s="84">
        <v>274889.44</v>
      </c>
      <c r="E31" s="84">
        <v>247536.73</v>
      </c>
      <c r="F31" s="84">
        <f>D31</f>
        <v>274889.44</v>
      </c>
      <c r="G31" s="84">
        <f t="shared" si="1"/>
        <v>27352.709999999992</v>
      </c>
    </row>
    <row r="32" spans="1:9" s="102" customFormat="1" ht="21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166974.93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G14+E25-F25</f>
        <v>67666.51790000002</v>
      </c>
      <c r="H35" s="62"/>
      <c r="I35" s="62"/>
    </row>
    <row r="36" spans="1:11" ht="31.5" customHeight="1">
      <c r="A36" s="377" t="s">
        <v>182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</row>
    <row r="38" spans="1:12" s="74" customFormat="1" ht="37.5" customHeight="1">
      <c r="A38" s="105" t="s">
        <v>11</v>
      </c>
      <c r="B38" s="401" t="s">
        <v>45</v>
      </c>
      <c r="C38" s="420"/>
      <c r="D38" s="105" t="s">
        <v>165</v>
      </c>
      <c r="E38" s="105" t="s">
        <v>164</v>
      </c>
      <c r="F38" s="401" t="s">
        <v>46</v>
      </c>
      <c r="G38" s="420"/>
      <c r="H38" s="248"/>
      <c r="I38" s="249"/>
      <c r="L38" s="108"/>
    </row>
    <row r="39" spans="1:12" s="115" customFormat="1" ht="15" customHeight="1">
      <c r="A39" s="109" t="s">
        <v>47</v>
      </c>
      <c r="B39" s="403" t="s">
        <v>111</v>
      </c>
      <c r="C39" s="425"/>
      <c r="D39" s="111"/>
      <c r="E39" s="111"/>
      <c r="F39" s="430">
        <f>SUM(F40:G43)</f>
        <v>44291.0554</v>
      </c>
      <c r="G39" s="419"/>
      <c r="H39" s="250"/>
      <c r="I39" s="251"/>
      <c r="L39" s="116"/>
    </row>
    <row r="40" spans="1:12" ht="15">
      <c r="A40" s="34" t="s">
        <v>16</v>
      </c>
      <c r="B40" s="413" t="s">
        <v>571</v>
      </c>
      <c r="C40" s="423"/>
      <c r="D40" s="349" t="s">
        <v>230</v>
      </c>
      <c r="E40" s="349">
        <v>0.02</v>
      </c>
      <c r="F40" s="451">
        <v>15705.73</v>
      </c>
      <c r="G40" s="452"/>
      <c r="H40" s="252"/>
      <c r="I40" s="253"/>
      <c r="L40" s="120"/>
    </row>
    <row r="41" spans="1:12" ht="15">
      <c r="A41" s="34" t="s">
        <v>18</v>
      </c>
      <c r="B41" s="382" t="s">
        <v>774</v>
      </c>
      <c r="C41" s="384"/>
      <c r="D41" s="349"/>
      <c r="E41" s="349"/>
      <c r="F41" s="446">
        <v>18200</v>
      </c>
      <c r="G41" s="447"/>
      <c r="H41" s="40"/>
      <c r="I41" s="40"/>
      <c r="L41" s="120"/>
    </row>
    <row r="42" spans="1:12" ht="15">
      <c r="A42" s="34" t="s">
        <v>20</v>
      </c>
      <c r="B42" s="382" t="s">
        <v>691</v>
      </c>
      <c r="C42" s="384"/>
      <c r="D42" s="349"/>
      <c r="E42" s="349"/>
      <c r="F42" s="446">
        <v>10000</v>
      </c>
      <c r="G42" s="447"/>
      <c r="H42" s="40"/>
      <c r="I42" s="40"/>
      <c r="L42" s="120"/>
    </row>
    <row r="43" spans="1:11" s="67" customFormat="1" ht="15">
      <c r="A43" s="34" t="s">
        <v>22</v>
      </c>
      <c r="B43" s="440" t="s">
        <v>191</v>
      </c>
      <c r="C43" s="441"/>
      <c r="D43" s="124"/>
      <c r="E43" s="124"/>
      <c r="F43" s="429">
        <f>E25*1%</f>
        <v>385.3254</v>
      </c>
      <c r="G43" s="429"/>
      <c r="H43" s="59"/>
      <c r="I43" s="59"/>
      <c r="J43" s="59"/>
      <c r="K43" s="59"/>
    </row>
    <row r="44" s="59" customFormat="1" ht="9" customHeight="1"/>
    <row r="45" spans="1:11" s="59" customFormat="1" ht="15">
      <c r="A45" s="67" t="s">
        <v>55</v>
      </c>
      <c r="B45" s="67"/>
      <c r="C45" s="126" t="s">
        <v>49</v>
      </c>
      <c r="D45" s="67"/>
      <c r="E45" s="67"/>
      <c r="F45" s="67" t="s">
        <v>90</v>
      </c>
      <c r="G45" s="67"/>
      <c r="H45" s="67"/>
      <c r="I45" s="67"/>
      <c r="J45" s="67"/>
      <c r="K45" s="67"/>
    </row>
    <row r="46" spans="1:7" s="59" customFormat="1" ht="15">
      <c r="A46" s="67"/>
      <c r="B46" s="67"/>
      <c r="C46" s="126"/>
      <c r="D46" s="67"/>
      <c r="E46" s="67"/>
      <c r="F46" s="127" t="s">
        <v>438</v>
      </c>
      <c r="G46" s="67"/>
    </row>
    <row r="47" spans="1:10" s="59" customFormat="1" ht="15">
      <c r="A47" s="67" t="s">
        <v>50</v>
      </c>
      <c r="B47" s="67"/>
      <c r="C47" s="126"/>
      <c r="D47" s="67"/>
      <c r="E47" s="67"/>
      <c r="F47" s="67"/>
      <c r="G47" s="67"/>
      <c r="H47" s="157"/>
      <c r="I47" s="157"/>
      <c r="J47" s="157"/>
    </row>
    <row r="48" spans="1:11" ht="15">
      <c r="A48" s="67"/>
      <c r="B48" s="67"/>
      <c r="C48" s="128" t="s">
        <v>51</v>
      </c>
      <c r="D48" s="67"/>
      <c r="E48" s="129"/>
      <c r="F48" s="129"/>
      <c r="G48" s="129"/>
      <c r="H48" s="59"/>
      <c r="I48" s="59"/>
      <c r="J48" s="59"/>
      <c r="K48" s="59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</sheetData>
  <sheetProtection/>
  <mergeCells count="23">
    <mergeCell ref="B43:C43"/>
    <mergeCell ref="F43:G43"/>
    <mergeCell ref="B39:C39"/>
    <mergeCell ref="F39:G39"/>
    <mergeCell ref="B40:C40"/>
    <mergeCell ref="F40:G40"/>
    <mergeCell ref="B41:C41"/>
    <mergeCell ref="B42:C42"/>
    <mergeCell ref="F41:G41"/>
    <mergeCell ref="F42:G42"/>
    <mergeCell ref="A11:K11"/>
    <mergeCell ref="A12:C12"/>
    <mergeCell ref="A33:C33"/>
    <mergeCell ref="A36:K36"/>
    <mergeCell ref="B38:C38"/>
    <mergeCell ref="F38:G38"/>
    <mergeCell ref="A32:F32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6"/>
  <sheetViews>
    <sheetView zoomScalePageLayoutView="0" workbookViewId="0" topLeftCell="A37">
      <selection activeCell="A51" sqref="A51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219</v>
      </c>
      <c r="H7" s="60"/>
    </row>
    <row r="8" spans="1:8" s="59" customFormat="1" ht="12.75">
      <c r="A8" s="59" t="s">
        <v>3</v>
      </c>
      <c r="F8" s="305" t="s">
        <v>364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'[1]Добровольского 14'!$G$34</f>
        <v>25102.34340000002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407041.78</v>
      </c>
      <c r="E16" s="76">
        <v>372292.56</v>
      </c>
      <c r="F16" s="76">
        <f aca="true" t="shared" si="0" ref="F16:F23">D16</f>
        <v>407041.78</v>
      </c>
      <c r="G16" s="77">
        <f>D16-E16</f>
        <v>34749.22000000003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142547.02012145752</v>
      </c>
      <c r="E17" s="83">
        <f>E16*I17</f>
        <v>130377.75886639678</v>
      </c>
      <c r="F17" s="83">
        <f t="shared" si="0"/>
        <v>142547.02012145752</v>
      </c>
      <c r="G17" s="84">
        <f>D17-E17</f>
        <v>12169.261255060745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69625.56763157896</v>
      </c>
      <c r="E18" s="83">
        <f>E16*I18</f>
        <v>63681.62210526316</v>
      </c>
      <c r="F18" s="83">
        <f t="shared" si="0"/>
        <v>69625.56763157896</v>
      </c>
      <c r="G18" s="84">
        <f>D18-E18</f>
        <v>5943.9455263158015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69625.56763157896</v>
      </c>
      <c r="E19" s="83">
        <f>E16*I19</f>
        <v>63681.62210526316</v>
      </c>
      <c r="F19" s="83">
        <f t="shared" si="0"/>
        <v>69625.56763157896</v>
      </c>
      <c r="G19" s="84">
        <f>D19-E19</f>
        <v>5943.9455263158015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125243.62461538463</v>
      </c>
      <c r="E20" s="83">
        <f>E16*I20</f>
        <v>114551.55692307693</v>
      </c>
      <c r="F20" s="83">
        <f t="shared" si="0"/>
        <v>125243.62461538463</v>
      </c>
      <c r="G20" s="84">
        <f>D20-E20</f>
        <v>10692.067692307697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26</v>
      </c>
      <c r="C21" s="46">
        <v>0</v>
      </c>
      <c r="D21" s="87">
        <v>0</v>
      </c>
      <c r="E21" s="87">
        <v>0</v>
      </c>
      <c r="F21" s="87">
        <v>0</v>
      </c>
      <c r="G21" s="87">
        <f>E21-D21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311</v>
      </c>
      <c r="C22" s="46">
        <v>200</v>
      </c>
      <c r="D22" s="87">
        <v>168000</v>
      </c>
      <c r="E22" s="87">
        <v>159699.23</v>
      </c>
      <c r="F22" s="87">
        <f>D22</f>
        <v>168000</v>
      </c>
      <c r="G22" s="77">
        <f aca="true" t="shared" si="1" ref="G22:G30">D22-E22</f>
        <v>8300.76999999999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73870.08</v>
      </c>
      <c r="E24" s="87">
        <v>70123.48</v>
      </c>
      <c r="F24" s="87">
        <f>F38</f>
        <v>162174.62480000002</v>
      </c>
      <c r="G24" s="77">
        <f t="shared" si="1"/>
        <v>3746.600000000006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 t="s">
        <v>334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1769488.98</v>
      </c>
      <c r="E26" s="77">
        <f>SUM(E27:E30)</f>
        <v>1684541.48</v>
      </c>
      <c r="F26" s="77">
        <f>SUM(F27:F30)</f>
        <v>1769488.98</v>
      </c>
      <c r="G26" s="77">
        <f t="shared" si="1"/>
        <v>84947.5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97" t="s">
        <v>510</v>
      </c>
      <c r="D27" s="84">
        <v>30972.79</v>
      </c>
      <c r="E27" s="84">
        <v>29289.16</v>
      </c>
      <c r="F27" s="84">
        <f>D27</f>
        <v>30972.79</v>
      </c>
      <c r="G27" s="84">
        <f t="shared" si="1"/>
        <v>1683.630000000001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440529.4</v>
      </c>
      <c r="E28" s="84">
        <v>432587.64</v>
      </c>
      <c r="F28" s="84">
        <f>D28</f>
        <v>440529.4</v>
      </c>
      <c r="G28" s="84">
        <f t="shared" si="1"/>
        <v>7941.760000000009</v>
      </c>
    </row>
    <row r="29" spans="1:7" ht="15">
      <c r="A29" s="34" t="s">
        <v>42</v>
      </c>
      <c r="B29" s="34" t="s">
        <v>40</v>
      </c>
      <c r="C29" s="144">
        <v>0</v>
      </c>
      <c r="D29" s="213">
        <v>0</v>
      </c>
      <c r="E29" s="213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1297986.79</v>
      </c>
      <c r="E30" s="84">
        <v>1222664.68</v>
      </c>
      <c r="F30" s="84">
        <f>D30</f>
        <v>1297986.79</v>
      </c>
      <c r="G30" s="84">
        <f t="shared" si="1"/>
        <v>75322.1100000001</v>
      </c>
    </row>
    <row r="31" spans="1:9" s="102" customFormat="1" ht="24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979201.22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-66948.8014</v>
      </c>
      <c r="H34" s="62"/>
      <c r="I34" s="62"/>
    </row>
    <row r="35" spans="1:11" ht="31.5" customHeight="1">
      <c r="A35" s="377" t="s">
        <v>182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SUM(F39:G50)</f>
        <v>162174.62480000002</v>
      </c>
      <c r="G38" s="419"/>
      <c r="H38" s="250"/>
      <c r="I38" s="251"/>
      <c r="L38" s="116"/>
    </row>
    <row r="39" spans="1:12" ht="15">
      <c r="A39" s="34" t="s">
        <v>16</v>
      </c>
      <c r="B39" s="413" t="s">
        <v>376</v>
      </c>
      <c r="C39" s="423"/>
      <c r="D39" s="349" t="s">
        <v>166</v>
      </c>
      <c r="E39" s="349">
        <v>1</v>
      </c>
      <c r="F39" s="451">
        <v>31410</v>
      </c>
      <c r="G39" s="452"/>
      <c r="H39" s="252"/>
      <c r="I39" s="253"/>
      <c r="L39" s="120"/>
    </row>
    <row r="40" spans="1:12" ht="15">
      <c r="A40" s="34" t="s">
        <v>18</v>
      </c>
      <c r="B40" s="413" t="s">
        <v>389</v>
      </c>
      <c r="C40" s="423"/>
      <c r="D40" s="349"/>
      <c r="E40" s="349" t="s">
        <v>238</v>
      </c>
      <c r="F40" s="451">
        <v>990</v>
      </c>
      <c r="G40" s="452"/>
      <c r="H40" s="40"/>
      <c r="I40" s="40"/>
      <c r="L40" s="120"/>
    </row>
    <row r="41" spans="1:12" ht="15">
      <c r="A41" s="34" t="s">
        <v>20</v>
      </c>
      <c r="B41" s="413" t="s">
        <v>162</v>
      </c>
      <c r="C41" s="423"/>
      <c r="D41" s="349" t="s">
        <v>169</v>
      </c>
      <c r="E41" s="349">
        <v>800</v>
      </c>
      <c r="F41" s="451">
        <v>8592</v>
      </c>
      <c r="G41" s="452"/>
      <c r="H41" s="40"/>
      <c r="I41" s="40"/>
      <c r="L41" s="120"/>
    </row>
    <row r="42" spans="1:12" ht="15">
      <c r="A42" s="34" t="s">
        <v>22</v>
      </c>
      <c r="B42" s="413" t="s">
        <v>162</v>
      </c>
      <c r="C42" s="423"/>
      <c r="D42" s="349" t="s">
        <v>169</v>
      </c>
      <c r="E42" s="349">
        <v>800</v>
      </c>
      <c r="F42" s="451">
        <v>7160</v>
      </c>
      <c r="G42" s="452"/>
      <c r="H42" s="40"/>
      <c r="I42" s="40"/>
      <c r="L42" s="120"/>
    </row>
    <row r="43" spans="1:12" ht="15">
      <c r="A43" s="34" t="s">
        <v>24</v>
      </c>
      <c r="B43" s="413" t="s">
        <v>567</v>
      </c>
      <c r="C43" s="423"/>
      <c r="D43" s="349" t="s">
        <v>230</v>
      </c>
      <c r="E43" s="349">
        <v>0.32</v>
      </c>
      <c r="F43" s="451">
        <v>21140.94</v>
      </c>
      <c r="G43" s="452"/>
      <c r="H43" s="40"/>
      <c r="I43" s="40"/>
      <c r="L43" s="120"/>
    </row>
    <row r="44" spans="1:12" ht="15" customHeight="1">
      <c r="A44" s="34" t="s">
        <v>103</v>
      </c>
      <c r="B44" s="413" t="s">
        <v>568</v>
      </c>
      <c r="C44" s="423"/>
      <c r="D44" s="119"/>
      <c r="E44" s="349" t="s">
        <v>242</v>
      </c>
      <c r="F44" s="431">
        <v>5176.88</v>
      </c>
      <c r="G44" s="431"/>
      <c r="H44" s="40"/>
      <c r="I44" s="40"/>
      <c r="L44" s="120"/>
    </row>
    <row r="45" spans="1:12" ht="27.75" customHeight="1">
      <c r="A45" s="34" t="s">
        <v>104</v>
      </c>
      <c r="B45" s="413" t="s">
        <v>436</v>
      </c>
      <c r="C45" s="442"/>
      <c r="D45" s="349" t="s">
        <v>166</v>
      </c>
      <c r="E45" s="349">
        <v>1</v>
      </c>
      <c r="F45" s="431">
        <v>1143.22</v>
      </c>
      <c r="G45" s="431"/>
      <c r="H45" s="40"/>
      <c r="I45" s="40"/>
      <c r="L45" s="120"/>
    </row>
    <row r="46" spans="1:12" ht="15">
      <c r="A46" s="34" t="s">
        <v>117</v>
      </c>
      <c r="B46" s="413" t="s">
        <v>569</v>
      </c>
      <c r="C46" s="442"/>
      <c r="D46" s="119"/>
      <c r="E46" s="349" t="s">
        <v>242</v>
      </c>
      <c r="F46" s="431">
        <v>2296.62</v>
      </c>
      <c r="G46" s="431"/>
      <c r="H46" s="40"/>
      <c r="I46" s="40"/>
      <c r="L46" s="120"/>
    </row>
    <row r="47" spans="1:12" ht="15">
      <c r="A47" s="34" t="s">
        <v>118</v>
      </c>
      <c r="B47" s="413" t="s">
        <v>570</v>
      </c>
      <c r="C47" s="442"/>
      <c r="D47" s="349" t="s">
        <v>166</v>
      </c>
      <c r="E47" s="354">
        <v>3</v>
      </c>
      <c r="F47" s="431">
        <v>3009.73</v>
      </c>
      <c r="G47" s="431"/>
      <c r="H47" s="40"/>
      <c r="I47" s="40"/>
      <c r="L47" s="120"/>
    </row>
    <row r="48" spans="1:12" ht="15">
      <c r="A48" s="34" t="s">
        <v>119</v>
      </c>
      <c r="B48" s="382" t="s">
        <v>776</v>
      </c>
      <c r="C48" s="432"/>
      <c r="D48" s="349"/>
      <c r="E48" s="354"/>
      <c r="F48" s="429">
        <v>80000</v>
      </c>
      <c r="G48" s="429"/>
      <c r="H48" s="40"/>
      <c r="I48" s="40"/>
      <c r="L48" s="120"/>
    </row>
    <row r="49" spans="1:12" ht="15">
      <c r="A49" s="34" t="s">
        <v>140</v>
      </c>
      <c r="B49" s="440" t="s">
        <v>775</v>
      </c>
      <c r="C49" s="448"/>
      <c r="D49" s="119"/>
      <c r="E49" s="153"/>
      <c r="F49" s="445">
        <v>554</v>
      </c>
      <c r="G49" s="445"/>
      <c r="H49" s="40"/>
      <c r="I49" s="40"/>
      <c r="L49" s="120"/>
    </row>
    <row r="50" spans="1:11" s="67" customFormat="1" ht="15">
      <c r="A50" s="34" t="s">
        <v>142</v>
      </c>
      <c r="B50" s="440" t="s">
        <v>191</v>
      </c>
      <c r="C50" s="441"/>
      <c r="D50" s="124"/>
      <c r="E50" s="124"/>
      <c r="F50" s="429">
        <f>E24*1%</f>
        <v>701.2348</v>
      </c>
      <c r="G50" s="429"/>
      <c r="H50" s="59"/>
      <c r="I50" s="59"/>
      <c r="J50" s="59"/>
      <c r="K50" s="59"/>
    </row>
    <row r="51" s="59" customFormat="1" ht="9" customHeight="1"/>
    <row r="52" spans="1:11" s="59" customFormat="1" ht="15">
      <c r="A52" s="67" t="s">
        <v>55</v>
      </c>
      <c r="B52" s="67"/>
      <c r="C52" s="126" t="s">
        <v>49</v>
      </c>
      <c r="D52" s="67"/>
      <c r="E52" s="67"/>
      <c r="F52" s="67" t="s">
        <v>90</v>
      </c>
      <c r="G52" s="67"/>
      <c r="H52" s="67"/>
      <c r="I52" s="67"/>
      <c r="J52" s="67"/>
      <c r="K52" s="67"/>
    </row>
    <row r="53" spans="1:7" s="59" customFormat="1" ht="15">
      <c r="A53" s="67"/>
      <c r="B53" s="67"/>
      <c r="C53" s="126"/>
      <c r="D53" s="67"/>
      <c r="E53" s="67"/>
      <c r="F53" s="127" t="s">
        <v>438</v>
      </c>
      <c r="G53" s="67"/>
    </row>
    <row r="54" spans="1:10" s="59" customFormat="1" ht="15">
      <c r="A54" s="67" t="s">
        <v>50</v>
      </c>
      <c r="B54" s="67"/>
      <c r="C54" s="126"/>
      <c r="D54" s="67"/>
      <c r="E54" s="67"/>
      <c r="F54" s="67"/>
      <c r="G54" s="67"/>
      <c r="H54" s="157"/>
      <c r="I54" s="157"/>
      <c r="J54" s="157"/>
    </row>
    <row r="55" spans="1:11" ht="15">
      <c r="A55" s="67"/>
      <c r="B55" s="67"/>
      <c r="C55" s="128" t="s">
        <v>51</v>
      </c>
      <c r="D55" s="67"/>
      <c r="E55" s="129"/>
      <c r="F55" s="129"/>
      <c r="G55" s="129"/>
      <c r="H55" s="59"/>
      <c r="I55" s="59"/>
      <c r="J55" s="59"/>
      <c r="K55" s="59"/>
    </row>
    <row r="56" spans="1:11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</row>
  </sheetData>
  <sheetProtection/>
  <mergeCells count="38">
    <mergeCell ref="B50:C50"/>
    <mergeCell ref="F50:G50"/>
    <mergeCell ref="F42:G42"/>
    <mergeCell ref="F43:G43"/>
    <mergeCell ref="F44:G44"/>
    <mergeCell ref="B42:C42"/>
    <mergeCell ref="B46:C46"/>
    <mergeCell ref="F46:G46"/>
    <mergeCell ref="B39:C39"/>
    <mergeCell ref="F39:G39"/>
    <mergeCell ref="B40:C40"/>
    <mergeCell ref="F40:G40"/>
    <mergeCell ref="B48:C48"/>
    <mergeCell ref="F48:G48"/>
    <mergeCell ref="B49:C49"/>
    <mergeCell ref="F49:G49"/>
    <mergeCell ref="B41:C41"/>
    <mergeCell ref="F41:G41"/>
    <mergeCell ref="B43:C43"/>
    <mergeCell ref="B44:C44"/>
    <mergeCell ref="F47:G47"/>
    <mergeCell ref="B47:C47"/>
    <mergeCell ref="B45:C45"/>
    <mergeCell ref="F45:G45"/>
    <mergeCell ref="A32:C32"/>
    <mergeCell ref="A35:K35"/>
    <mergeCell ref="B37:C37"/>
    <mergeCell ref="F37:G37"/>
    <mergeCell ref="B38:C38"/>
    <mergeCell ref="F38:G38"/>
    <mergeCell ref="A31:F31"/>
    <mergeCell ref="A11:K1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1"/>
  <sheetViews>
    <sheetView zoomScalePageLayoutView="0" workbookViewId="0" topLeftCell="A37">
      <selection activeCell="B45" sqref="B45:C45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0" s="59" customFormat="1" ht="16.5" customHeight="1">
      <c r="A7" s="59" t="s">
        <v>2</v>
      </c>
      <c r="F7" s="60" t="s">
        <v>220</v>
      </c>
      <c r="H7" s="277">
        <v>3056.3</v>
      </c>
      <c r="I7" s="61">
        <v>59.6</v>
      </c>
      <c r="J7" s="61">
        <f>H7+I7</f>
        <v>3115.9</v>
      </c>
    </row>
    <row r="8" spans="1:8" s="59" customFormat="1" ht="12.75">
      <c r="A8" s="59" t="s">
        <v>3</v>
      </c>
      <c r="F8" s="305" t="s">
        <v>512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'[1]Чижевского 12'!$G$34</f>
        <v>61866.06839999996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460772.07</v>
      </c>
      <c r="E16" s="76">
        <v>447759.08</v>
      </c>
      <c r="F16" s="76">
        <f aca="true" t="shared" si="0" ref="F16:F23">D16</f>
        <v>460772.07</v>
      </c>
      <c r="G16" s="77">
        <f>D16-E16</f>
        <v>13012.98999999999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161363.49819838058</v>
      </c>
      <c r="E17" s="83">
        <f>E16*I17</f>
        <v>156806.31748987857</v>
      </c>
      <c r="F17" s="83">
        <f t="shared" si="0"/>
        <v>161363.49819838058</v>
      </c>
      <c r="G17" s="84">
        <f>D17-E17</f>
        <v>4557.180708502012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78816.27513157895</v>
      </c>
      <c r="E18" s="83">
        <f>E16*I18</f>
        <v>76590.36894736842</v>
      </c>
      <c r="F18" s="83">
        <f t="shared" si="0"/>
        <v>78816.27513157895</v>
      </c>
      <c r="G18" s="84">
        <f>D18-E18</f>
        <v>2225.9061842105293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78816.27513157895</v>
      </c>
      <c r="E19" s="83">
        <f>E16*I19</f>
        <v>76590.36894736842</v>
      </c>
      <c r="F19" s="83">
        <f t="shared" si="0"/>
        <v>78816.27513157895</v>
      </c>
      <c r="G19" s="84">
        <f>D19-E19</f>
        <v>2225.9061842105293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141776.02153846156</v>
      </c>
      <c r="E20" s="83">
        <f>E16*I20</f>
        <v>137772.02461538464</v>
      </c>
      <c r="F20" s="83">
        <f t="shared" si="0"/>
        <v>141776.02153846156</v>
      </c>
      <c r="G20" s="84">
        <f>D20-E20</f>
        <v>4003.99692307692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205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3</v>
      </c>
      <c r="D24" s="87">
        <v>111987.6</v>
      </c>
      <c r="E24" s="87">
        <v>108418.89</v>
      </c>
      <c r="F24" s="87">
        <f>F38</f>
        <v>90219.92889999998</v>
      </c>
      <c r="G24" s="77">
        <f t="shared" si="1"/>
        <v>3568.7100000000064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0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1660091.65</v>
      </c>
      <c r="E26" s="77">
        <f>SUM(E27:E30)</f>
        <v>1675256.56</v>
      </c>
      <c r="F26" s="77">
        <f>SUM(F27:F30)</f>
        <v>1660091.65</v>
      </c>
      <c r="G26" s="77">
        <f t="shared" si="1"/>
        <v>-15164.910000000149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97" t="s">
        <v>510</v>
      </c>
      <c r="D27" s="84">
        <v>8959.3</v>
      </c>
      <c r="E27" s="84">
        <v>8455.31</v>
      </c>
      <c r="F27" s="84">
        <f>D27</f>
        <v>8959.3</v>
      </c>
      <c r="G27" s="84">
        <f t="shared" si="1"/>
        <v>503.9899999999998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487830.46</v>
      </c>
      <c r="E28" s="84">
        <v>493257.47</v>
      </c>
      <c r="F28" s="84">
        <f>D28</f>
        <v>487830.46</v>
      </c>
      <c r="G28" s="84">
        <f t="shared" si="1"/>
        <v>-5427.009999999951</v>
      </c>
    </row>
    <row r="29" spans="1:7" ht="15">
      <c r="A29" s="34" t="s">
        <v>42</v>
      </c>
      <c r="B29" s="34" t="s">
        <v>421</v>
      </c>
      <c r="C29" s="144">
        <v>0</v>
      </c>
      <c r="D29" s="213">
        <v>0</v>
      </c>
      <c r="E29" s="213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1163301.89</v>
      </c>
      <c r="E30" s="84">
        <v>1173543.78</v>
      </c>
      <c r="F30" s="84">
        <f>D30</f>
        <v>1163301.89</v>
      </c>
      <c r="G30" s="84">
        <f t="shared" si="1"/>
        <v>-10241.89000000013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471672.05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496</v>
      </c>
      <c r="B34" s="64"/>
      <c r="C34" s="64"/>
      <c r="D34" s="69"/>
      <c r="E34" s="70"/>
      <c r="F34" s="70"/>
      <c r="G34" s="145">
        <f>G13+E24-F24</f>
        <v>80065.02949999996</v>
      </c>
      <c r="H34" s="62"/>
      <c r="I34" s="62"/>
    </row>
    <row r="35" spans="1:11" ht="31.5" customHeight="1">
      <c r="A35" s="377" t="s">
        <v>182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SUM(F39:G45)</f>
        <v>90219.92889999998</v>
      </c>
      <c r="G38" s="419"/>
      <c r="H38" s="250"/>
      <c r="I38" s="251"/>
      <c r="L38" s="116"/>
    </row>
    <row r="39" spans="1:12" ht="15">
      <c r="A39" s="34" t="s">
        <v>16</v>
      </c>
      <c r="B39" s="413" t="s">
        <v>563</v>
      </c>
      <c r="C39" s="423"/>
      <c r="D39" s="349" t="s">
        <v>168</v>
      </c>
      <c r="E39" s="349">
        <v>8</v>
      </c>
      <c r="F39" s="451">
        <v>10400</v>
      </c>
      <c r="G39" s="452"/>
      <c r="H39" s="252"/>
      <c r="I39" s="253"/>
      <c r="L39" s="120"/>
    </row>
    <row r="40" spans="1:12" ht="15">
      <c r="A40" s="34" t="s">
        <v>18</v>
      </c>
      <c r="B40" s="413" t="s">
        <v>564</v>
      </c>
      <c r="C40" s="442"/>
      <c r="D40" s="349" t="s">
        <v>168</v>
      </c>
      <c r="E40" s="349"/>
      <c r="F40" s="451">
        <v>9500</v>
      </c>
      <c r="G40" s="452"/>
      <c r="H40" s="40"/>
      <c r="I40" s="40"/>
      <c r="L40" s="120"/>
    </row>
    <row r="41" spans="1:12" ht="15">
      <c r="A41" s="34" t="s">
        <v>20</v>
      </c>
      <c r="B41" s="413" t="s">
        <v>565</v>
      </c>
      <c r="C41" s="442"/>
      <c r="D41" s="349" t="s">
        <v>229</v>
      </c>
      <c r="E41" s="353">
        <v>0.02</v>
      </c>
      <c r="F41" s="451">
        <v>23508.12</v>
      </c>
      <c r="G41" s="452"/>
      <c r="H41" s="40"/>
      <c r="I41" s="40"/>
      <c r="L41" s="120"/>
    </row>
    <row r="42" spans="1:12" ht="15">
      <c r="A42" s="34" t="s">
        <v>22</v>
      </c>
      <c r="B42" s="413" t="s">
        <v>566</v>
      </c>
      <c r="C42" s="442"/>
      <c r="D42" s="349" t="s">
        <v>229</v>
      </c>
      <c r="E42" s="354">
        <v>0.08</v>
      </c>
      <c r="F42" s="431">
        <v>7727.62</v>
      </c>
      <c r="G42" s="431"/>
      <c r="H42" s="40"/>
      <c r="I42" s="40"/>
      <c r="L42" s="120"/>
    </row>
    <row r="43" spans="1:12" ht="15">
      <c r="A43" s="34" t="s">
        <v>24</v>
      </c>
      <c r="B43" s="382" t="s">
        <v>777</v>
      </c>
      <c r="C43" s="432"/>
      <c r="D43" s="119"/>
      <c r="E43" s="153"/>
      <c r="F43" s="429">
        <v>38000</v>
      </c>
      <c r="G43" s="429"/>
      <c r="H43" s="40"/>
      <c r="I43" s="40"/>
      <c r="L43" s="120"/>
    </row>
    <row r="44" spans="1:12" ht="15">
      <c r="A44" s="34" t="s">
        <v>103</v>
      </c>
      <c r="B44" s="382"/>
      <c r="C44" s="432"/>
      <c r="D44" s="119"/>
      <c r="E44" s="153"/>
      <c r="F44" s="429"/>
      <c r="G44" s="429"/>
      <c r="H44" s="40"/>
      <c r="I44" s="40"/>
      <c r="L44" s="120"/>
    </row>
    <row r="45" spans="1:11" s="67" customFormat="1" ht="15">
      <c r="A45" s="34" t="s">
        <v>104</v>
      </c>
      <c r="B45" s="440" t="s">
        <v>191</v>
      </c>
      <c r="C45" s="441"/>
      <c r="D45" s="124"/>
      <c r="E45" s="124"/>
      <c r="F45" s="429">
        <f>E24*1%</f>
        <v>1084.1889</v>
      </c>
      <c r="G45" s="429"/>
      <c r="H45" s="59"/>
      <c r="I45" s="59"/>
      <c r="J45" s="59"/>
      <c r="K45" s="59"/>
    </row>
    <row r="46" s="59" customFormat="1" ht="9" customHeight="1"/>
    <row r="47" spans="1:11" s="59" customFormat="1" ht="15">
      <c r="A47" s="67" t="s">
        <v>55</v>
      </c>
      <c r="B47" s="67"/>
      <c r="C47" s="126" t="s">
        <v>49</v>
      </c>
      <c r="D47" s="67"/>
      <c r="E47" s="67"/>
      <c r="F47" s="67" t="s">
        <v>90</v>
      </c>
      <c r="G47" s="67"/>
      <c r="H47" s="67"/>
      <c r="I47" s="67"/>
      <c r="J47" s="67"/>
      <c r="K47" s="67"/>
    </row>
    <row r="48" spans="1:7" s="59" customFormat="1" ht="15">
      <c r="A48" s="67"/>
      <c r="B48" s="67"/>
      <c r="C48" s="126"/>
      <c r="D48" s="67"/>
      <c r="E48" s="67"/>
      <c r="F48" s="127" t="s">
        <v>438</v>
      </c>
      <c r="G48" s="67"/>
    </row>
    <row r="49" spans="1:10" s="59" customFormat="1" ht="15">
      <c r="A49" s="67" t="s">
        <v>50</v>
      </c>
      <c r="B49" s="67"/>
      <c r="C49" s="126"/>
      <c r="D49" s="67"/>
      <c r="E49" s="67"/>
      <c r="F49" s="67"/>
      <c r="G49" s="67"/>
      <c r="H49" s="157"/>
      <c r="I49" s="157"/>
      <c r="J49" s="157"/>
    </row>
    <row r="50" spans="1:11" ht="15">
      <c r="A50" s="67"/>
      <c r="B50" s="67"/>
      <c r="C50" s="128" t="s">
        <v>51</v>
      </c>
      <c r="D50" s="67"/>
      <c r="E50" s="129"/>
      <c r="F50" s="129"/>
      <c r="G50" s="129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</sheetData>
  <sheetProtection/>
  <mergeCells count="27">
    <mergeCell ref="B45:C45"/>
    <mergeCell ref="F45:G45"/>
    <mergeCell ref="B38:C38"/>
    <mergeCell ref="F38:G38"/>
    <mergeCell ref="B39:C39"/>
    <mergeCell ref="B44:C44"/>
    <mergeCell ref="B42:C42"/>
    <mergeCell ref="F44:G44"/>
    <mergeCell ref="F42:G42"/>
    <mergeCell ref="B43:C43"/>
    <mergeCell ref="A1:K1"/>
    <mergeCell ref="A2:K2"/>
    <mergeCell ref="A3:K3"/>
    <mergeCell ref="A5:K5"/>
    <mergeCell ref="A9:K9"/>
    <mergeCell ref="F40:G40"/>
    <mergeCell ref="A11:K11"/>
    <mergeCell ref="A32:C32"/>
    <mergeCell ref="A35:K35"/>
    <mergeCell ref="F37:G37"/>
    <mergeCell ref="B37:C37"/>
    <mergeCell ref="F39:G39"/>
    <mergeCell ref="A10:K10"/>
    <mergeCell ref="F43:G43"/>
    <mergeCell ref="B40:C40"/>
    <mergeCell ref="F41:G41"/>
    <mergeCell ref="B41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1"/>
  <sheetViews>
    <sheetView zoomScalePageLayoutView="0" workbookViewId="0" topLeftCell="A34">
      <selection activeCell="B45" sqref="B45:C45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225</v>
      </c>
      <c r="H7" s="60"/>
    </row>
    <row r="8" spans="1:10" s="59" customFormat="1" ht="12.75">
      <c r="A8" s="59" t="s">
        <v>3</v>
      </c>
      <c r="F8" s="305" t="s">
        <v>513</v>
      </c>
      <c r="H8" s="61">
        <v>5087.1</v>
      </c>
      <c r="I8" s="306">
        <f>42.2+70.5+62.9+76.9+44.5+66.1+42.9+62.3</f>
        <v>468.3</v>
      </c>
      <c r="J8" s="61">
        <f>H8+I8</f>
        <v>5555.400000000001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3.5" thickBot="1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25.5" customHeight="1" thickBot="1">
      <c r="A12" s="63" t="s">
        <v>501</v>
      </c>
      <c r="B12" s="64"/>
      <c r="C12" s="64"/>
      <c r="D12" s="69"/>
      <c r="E12" s="70"/>
      <c r="F12" s="70"/>
      <c r="G12" s="265">
        <f>'[1]Чижевского 23'!$G$36</f>
        <v>402999.49</v>
      </c>
      <c r="H12" s="62"/>
      <c r="I12" s="62"/>
    </row>
    <row r="13" spans="1:9" s="67" customFormat="1" ht="25.5" customHeight="1" thickBot="1">
      <c r="A13" s="63" t="s">
        <v>448</v>
      </c>
      <c r="B13" s="64"/>
      <c r="C13" s="64"/>
      <c r="D13" s="69"/>
      <c r="E13" s="70"/>
      <c r="F13" s="70"/>
      <c r="G13" s="65">
        <f>'[1]Чижевского 23'!$G$35</f>
        <v>303800.0180999999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703013.81</v>
      </c>
      <c r="E16" s="76">
        <v>682751.45</v>
      </c>
      <c r="F16" s="76">
        <f aca="true" t="shared" si="0" ref="F16:F22">D16</f>
        <v>703013.81</v>
      </c>
      <c r="G16" s="77">
        <f>D16-E16</f>
        <v>20262.360000000102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235244.46640232112</v>
      </c>
      <c r="E17" s="83">
        <f>E16*I17</f>
        <v>228464.21827853</v>
      </c>
      <c r="F17" s="83">
        <f t="shared" si="0"/>
        <v>235244.46640232112</v>
      </c>
      <c r="G17" s="84">
        <f>D17-E17</f>
        <v>6780.248123791127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114902.6439941973</v>
      </c>
      <c r="E18" s="83">
        <f>E16*I18</f>
        <v>111590.90430367502</v>
      </c>
      <c r="F18" s="83">
        <f t="shared" si="0"/>
        <v>114902.6439941973</v>
      </c>
      <c r="G18" s="84">
        <f>D18-E18</f>
        <v>3311.7396905222704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2">
        <v>2.15</v>
      </c>
      <c r="D19" s="83">
        <f>D16*I19</f>
        <v>146177.91987427467</v>
      </c>
      <c r="E19" s="83">
        <f>E16*I19</f>
        <v>141964.7599129594</v>
      </c>
      <c r="F19" s="83">
        <f t="shared" si="0"/>
        <v>146177.91987427467</v>
      </c>
      <c r="G19" s="84">
        <f>D19-E19</f>
        <v>4213.159961315279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206688.779729207</v>
      </c>
      <c r="E20" s="83">
        <f>E16*I20</f>
        <v>200731.56750483558</v>
      </c>
      <c r="F20" s="83">
        <f t="shared" si="0"/>
        <v>206688.779729207</v>
      </c>
      <c r="G20" s="84">
        <f>D20-E20</f>
        <v>5957.212224371411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1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205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327</v>
      </c>
      <c r="C23" s="46">
        <v>3</v>
      </c>
      <c r="D23" s="87">
        <v>204038.1</v>
      </c>
      <c r="E23" s="87">
        <v>195277.5</v>
      </c>
      <c r="F23" s="87">
        <v>0</v>
      </c>
      <c r="G23" s="77">
        <f t="shared" si="1"/>
        <v>8760.600000000006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514</v>
      </c>
      <c r="C24" s="46">
        <v>180</v>
      </c>
      <c r="D24" s="87">
        <v>4680</v>
      </c>
      <c r="E24" s="87">
        <v>3952.72</v>
      </c>
      <c r="F24" s="87">
        <f>F44</f>
        <v>0</v>
      </c>
      <c r="G24" s="77">
        <f t="shared" si="1"/>
        <v>727.2800000000002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3</v>
      </c>
      <c r="D25" s="87">
        <v>204038.1</v>
      </c>
      <c r="E25" s="87">
        <v>195277.5</v>
      </c>
      <c r="F25" s="87">
        <f>F40-F24</f>
        <v>74912.42499999999</v>
      </c>
      <c r="G25" s="77">
        <f>D25-E25</f>
        <v>8760.600000000006</v>
      </c>
      <c r="H25" s="88"/>
      <c r="I25" s="88"/>
      <c r="J25" s="88"/>
      <c r="K25" s="88"/>
    </row>
    <row r="26" spans="1:11" ht="14.25">
      <c r="A26" s="41" t="s">
        <v>33</v>
      </c>
      <c r="B26" s="41" t="s">
        <v>163</v>
      </c>
      <c r="C26" s="97">
        <v>12.54</v>
      </c>
      <c r="D26" s="77">
        <v>0</v>
      </c>
      <c r="E26" s="77">
        <v>0</v>
      </c>
      <c r="F26" s="87">
        <f>D26</f>
        <v>0</v>
      </c>
      <c r="G26" s="77">
        <f t="shared" si="1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36</v>
      </c>
      <c r="C27" s="97"/>
      <c r="D27" s="77">
        <f>SUM(D28:D31)</f>
        <v>1291909.9500000002</v>
      </c>
      <c r="E27" s="77">
        <f>SUM(E28:E31)</f>
        <v>1362838.21</v>
      </c>
      <c r="F27" s="77">
        <f>SUM(F28:F31)</f>
        <v>1291909.9500000002</v>
      </c>
      <c r="G27" s="77">
        <f t="shared" si="1"/>
        <v>-70928.25999999978</v>
      </c>
      <c r="H27" s="98"/>
      <c r="I27" s="98"/>
      <c r="J27" s="98"/>
      <c r="K27" s="98"/>
    </row>
    <row r="28" spans="1:7" ht="15">
      <c r="A28" s="34" t="s">
        <v>37</v>
      </c>
      <c r="B28" s="34" t="s">
        <v>167</v>
      </c>
      <c r="C28" s="289" t="s">
        <v>515</v>
      </c>
      <c r="D28" s="84">
        <v>51728.05</v>
      </c>
      <c r="E28" s="84">
        <v>53150.7</v>
      </c>
      <c r="F28" s="84">
        <f>D28</f>
        <v>51728.05</v>
      </c>
      <c r="G28" s="84">
        <f t="shared" si="1"/>
        <v>-1422.6499999999942</v>
      </c>
    </row>
    <row r="29" spans="1:7" ht="15">
      <c r="A29" s="34" t="s">
        <v>39</v>
      </c>
      <c r="B29" s="34" t="s">
        <v>138</v>
      </c>
      <c r="C29" s="289" t="s">
        <v>409</v>
      </c>
      <c r="D29" s="84">
        <v>484828.97</v>
      </c>
      <c r="E29" s="84">
        <v>509418.44</v>
      </c>
      <c r="F29" s="84">
        <f>D29</f>
        <v>484828.97</v>
      </c>
      <c r="G29" s="84">
        <f t="shared" si="1"/>
        <v>-24589.47000000003</v>
      </c>
    </row>
    <row r="30" spans="1:7" ht="15">
      <c r="A30" s="34" t="s">
        <v>42</v>
      </c>
      <c r="B30" s="34" t="s">
        <v>421</v>
      </c>
      <c r="C30" s="290" t="s">
        <v>408</v>
      </c>
      <c r="D30" s="84">
        <v>755352.93</v>
      </c>
      <c r="E30" s="84">
        <v>800269.07</v>
      </c>
      <c r="F30" s="84">
        <f>D30</f>
        <v>755352.93</v>
      </c>
      <c r="G30" s="84">
        <f t="shared" si="1"/>
        <v>-44916.1399999999</v>
      </c>
    </row>
    <row r="31" spans="1:7" ht="15">
      <c r="A31" s="34" t="s">
        <v>41</v>
      </c>
      <c r="B31" s="34" t="s">
        <v>43</v>
      </c>
      <c r="C31" s="144">
        <v>0</v>
      </c>
      <c r="D31" s="84">
        <v>0</v>
      </c>
      <c r="E31" s="84">
        <v>0</v>
      </c>
      <c r="F31" s="84">
        <f>D31</f>
        <v>0</v>
      </c>
      <c r="G31" s="84">
        <f t="shared" si="1"/>
        <v>0</v>
      </c>
    </row>
    <row r="32" spans="1:9" s="102" customFormat="1" ht="21.75" customHeight="1" thickBot="1">
      <c r="A32" s="379" t="s">
        <v>328</v>
      </c>
      <c r="B32" s="380"/>
      <c r="C32" s="380"/>
      <c r="D32" s="381"/>
      <c r="E32" s="381"/>
      <c r="F32" s="381"/>
      <c r="G32" s="101"/>
      <c r="H32" s="101"/>
      <c r="I32" s="101"/>
    </row>
    <row r="33" spans="1:9" s="67" customFormat="1" ht="15.75" thickBot="1">
      <c r="A33" s="391" t="s">
        <v>410</v>
      </c>
      <c r="B33" s="392"/>
      <c r="C33" s="392"/>
      <c r="D33" s="65">
        <v>465686.09</v>
      </c>
      <c r="E33" s="66"/>
      <c r="F33" s="66"/>
      <c r="G33" s="66"/>
      <c r="H33" s="62"/>
      <c r="I33" s="62"/>
    </row>
    <row r="34" spans="1:9" s="67" customFormat="1" ht="6" customHeight="1" thickBot="1">
      <c r="A34" s="68"/>
      <c r="B34" s="68"/>
      <c r="C34" s="68"/>
      <c r="D34" s="40"/>
      <c r="E34" s="66"/>
      <c r="F34" s="66"/>
      <c r="G34" s="66"/>
      <c r="H34" s="62"/>
      <c r="I34" s="62"/>
    </row>
    <row r="35" spans="1:9" s="67" customFormat="1" ht="15.75" thickBot="1">
      <c r="A35" s="63" t="s">
        <v>413</v>
      </c>
      <c r="B35" s="64"/>
      <c r="C35" s="64"/>
      <c r="D35" s="69"/>
      <c r="E35" s="70"/>
      <c r="F35" s="70"/>
      <c r="G35" s="145">
        <f>G13+E25-F25+E24-F24</f>
        <v>428117.8130999999</v>
      </c>
      <c r="H35" s="62"/>
      <c r="I35" s="62"/>
    </row>
    <row r="36" spans="1:9" s="67" customFormat="1" ht="15.75" thickBot="1">
      <c r="A36" s="63" t="s">
        <v>516</v>
      </c>
      <c r="B36" s="64"/>
      <c r="C36" s="64"/>
      <c r="D36" s="69"/>
      <c r="E36" s="70"/>
      <c r="F36" s="70"/>
      <c r="G36" s="145">
        <f>G12+E23-F23</f>
        <v>598276.99</v>
      </c>
      <c r="H36" s="62"/>
      <c r="I36" s="62"/>
    </row>
    <row r="37" spans="1:11" ht="31.5" customHeight="1">
      <c r="A37" s="377" t="s">
        <v>182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</row>
    <row r="39" spans="1:12" s="74" customFormat="1" ht="37.5" customHeight="1">
      <c r="A39" s="105" t="s">
        <v>11</v>
      </c>
      <c r="B39" s="401" t="s">
        <v>45</v>
      </c>
      <c r="C39" s="420"/>
      <c r="D39" s="105" t="s">
        <v>165</v>
      </c>
      <c r="E39" s="105" t="s">
        <v>164</v>
      </c>
      <c r="F39" s="401" t="s">
        <v>46</v>
      </c>
      <c r="G39" s="420"/>
      <c r="H39" s="248"/>
      <c r="I39" s="249"/>
      <c r="L39" s="108"/>
    </row>
    <row r="40" spans="1:12" s="115" customFormat="1" ht="15" customHeight="1">
      <c r="A40" s="109" t="s">
        <v>47</v>
      </c>
      <c r="B40" s="403" t="s">
        <v>111</v>
      </c>
      <c r="C40" s="425"/>
      <c r="D40" s="111"/>
      <c r="E40" s="111"/>
      <c r="F40" s="430">
        <f>SUM(F41:G45)</f>
        <v>74912.42499999999</v>
      </c>
      <c r="G40" s="419"/>
      <c r="H40" s="250"/>
      <c r="I40" s="251"/>
      <c r="L40" s="116"/>
    </row>
    <row r="41" spans="1:12" ht="15">
      <c r="A41" s="34" t="s">
        <v>16</v>
      </c>
      <c r="B41" s="413" t="s">
        <v>560</v>
      </c>
      <c r="C41" s="423"/>
      <c r="D41" s="349" t="s">
        <v>561</v>
      </c>
      <c r="E41" s="349">
        <v>4</v>
      </c>
      <c r="F41" s="451">
        <v>26900</v>
      </c>
      <c r="G41" s="452"/>
      <c r="H41" s="252"/>
      <c r="I41" s="253"/>
      <c r="L41" s="120"/>
    </row>
    <row r="42" spans="1:12" ht="15">
      <c r="A42" s="34" t="s">
        <v>18</v>
      </c>
      <c r="B42" s="413" t="s">
        <v>562</v>
      </c>
      <c r="C42" s="423"/>
      <c r="D42" s="349" t="s">
        <v>230</v>
      </c>
      <c r="E42" s="349">
        <v>0.06</v>
      </c>
      <c r="F42" s="451">
        <v>36559.65</v>
      </c>
      <c r="G42" s="452"/>
      <c r="H42" s="40"/>
      <c r="I42" s="40"/>
      <c r="L42" s="120"/>
    </row>
    <row r="43" spans="1:12" ht="15">
      <c r="A43" s="34" t="s">
        <v>20</v>
      </c>
      <c r="B43" s="413" t="s">
        <v>563</v>
      </c>
      <c r="C43" s="423"/>
      <c r="D43" s="349" t="s">
        <v>168</v>
      </c>
      <c r="E43" s="349"/>
      <c r="F43" s="451">
        <v>9500</v>
      </c>
      <c r="G43" s="452"/>
      <c r="H43" s="40"/>
      <c r="I43" s="40"/>
      <c r="L43" s="120"/>
    </row>
    <row r="44" spans="1:12" ht="15">
      <c r="A44" s="34" t="s">
        <v>22</v>
      </c>
      <c r="B44" s="382"/>
      <c r="C44" s="384"/>
      <c r="D44" s="119"/>
      <c r="E44" s="119"/>
      <c r="F44" s="446"/>
      <c r="G44" s="447"/>
      <c r="H44" s="40"/>
      <c r="I44" s="40"/>
      <c r="L44" s="120"/>
    </row>
    <row r="45" spans="1:11" s="67" customFormat="1" ht="15">
      <c r="A45" s="34" t="s">
        <v>24</v>
      </c>
      <c r="B45" s="440" t="s">
        <v>191</v>
      </c>
      <c r="C45" s="441"/>
      <c r="D45" s="124"/>
      <c r="E45" s="124"/>
      <c r="F45" s="429">
        <f>E25*1%</f>
        <v>1952.775</v>
      </c>
      <c r="G45" s="429"/>
      <c r="H45" s="59"/>
      <c r="I45" s="59"/>
      <c r="J45" s="59"/>
      <c r="K45" s="59"/>
    </row>
    <row r="46" s="59" customFormat="1" ht="9" customHeight="1"/>
    <row r="47" spans="1:11" s="59" customFormat="1" ht="15">
      <c r="A47" s="67" t="s">
        <v>55</v>
      </c>
      <c r="B47" s="67"/>
      <c r="C47" s="126" t="s">
        <v>49</v>
      </c>
      <c r="D47" s="67"/>
      <c r="E47" s="67"/>
      <c r="F47" s="67" t="s">
        <v>90</v>
      </c>
      <c r="G47" s="67"/>
      <c r="H47" s="67"/>
      <c r="I47" s="67"/>
      <c r="J47" s="67"/>
      <c r="K47" s="67"/>
    </row>
    <row r="48" spans="1:7" s="59" customFormat="1" ht="15">
      <c r="A48" s="67"/>
      <c r="B48" s="67"/>
      <c r="C48" s="126"/>
      <c r="D48" s="67"/>
      <c r="E48" s="67"/>
      <c r="F48" s="127" t="s">
        <v>438</v>
      </c>
      <c r="G48" s="67"/>
    </row>
    <row r="49" spans="1:10" s="59" customFormat="1" ht="15">
      <c r="A49" s="67" t="s">
        <v>50</v>
      </c>
      <c r="B49" s="67"/>
      <c r="C49" s="126"/>
      <c r="D49" s="67"/>
      <c r="E49" s="67"/>
      <c r="F49" s="67"/>
      <c r="G49" s="67"/>
      <c r="H49" s="157"/>
      <c r="I49" s="157"/>
      <c r="J49" s="157"/>
    </row>
    <row r="50" spans="1:11" ht="15">
      <c r="A50" s="67"/>
      <c r="B50" s="67"/>
      <c r="C50" s="128" t="s">
        <v>51</v>
      </c>
      <c r="D50" s="67"/>
      <c r="E50" s="129"/>
      <c r="F50" s="129"/>
      <c r="G50" s="129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</sheetData>
  <sheetProtection/>
  <mergeCells count="24">
    <mergeCell ref="F42:G42"/>
    <mergeCell ref="F43:G43"/>
    <mergeCell ref="A37:K37"/>
    <mergeCell ref="B39:C39"/>
    <mergeCell ref="F39:G39"/>
    <mergeCell ref="B45:C45"/>
    <mergeCell ref="F45:G45"/>
    <mergeCell ref="B40:C40"/>
    <mergeCell ref="F40:G40"/>
    <mergeCell ref="B41:C41"/>
    <mergeCell ref="F44:G44"/>
    <mergeCell ref="B44:C44"/>
    <mergeCell ref="F41:G41"/>
    <mergeCell ref="B42:C42"/>
    <mergeCell ref="B43:C43"/>
    <mergeCell ref="A11:K11"/>
    <mergeCell ref="A33:C33"/>
    <mergeCell ref="A1:K1"/>
    <mergeCell ref="A2:K2"/>
    <mergeCell ref="A3:K3"/>
    <mergeCell ref="A5:K5"/>
    <mergeCell ref="A9:K9"/>
    <mergeCell ref="A10:K10"/>
    <mergeCell ref="A32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PageLayoutView="0" workbookViewId="0" topLeftCell="A37">
      <selection activeCell="F41" sqref="F41:G41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222</v>
      </c>
      <c r="H7" s="60"/>
    </row>
    <row r="8" spans="1:8" s="59" customFormat="1" ht="12.75">
      <c r="A8" s="59" t="s">
        <v>3</v>
      </c>
      <c r="F8" s="305" t="s">
        <v>267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'[1]Болотникова 16'!$G$34</f>
        <v>-11258.25049999998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418588.56</v>
      </c>
      <c r="E16" s="76">
        <v>427367.86</v>
      </c>
      <c r="F16" s="76">
        <f aca="true" t="shared" si="0" ref="F16:F23">D16</f>
        <v>418588.56</v>
      </c>
      <c r="G16" s="77">
        <f>D16-E16</f>
        <v>-8779.299999999988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146590.7305263158</v>
      </c>
      <c r="E17" s="83">
        <f>E16*I17</f>
        <v>149665.2627125506</v>
      </c>
      <c r="F17" s="83">
        <f t="shared" si="0"/>
        <v>146590.7305263158</v>
      </c>
      <c r="G17" s="84">
        <f>D17-E17</f>
        <v>-3074.5321862348064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71600.6747368421</v>
      </c>
      <c r="E18" s="83">
        <f>E16*I18</f>
        <v>73102.39710526315</v>
      </c>
      <c r="F18" s="83">
        <f t="shared" si="0"/>
        <v>71600.6747368421</v>
      </c>
      <c r="G18" s="84">
        <f>D18-E18</f>
        <v>-1501.7223684210476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71600.6747368421</v>
      </c>
      <c r="E19" s="83">
        <f>E16*I19</f>
        <v>73102.39710526315</v>
      </c>
      <c r="F19" s="83">
        <f t="shared" si="0"/>
        <v>71600.6747368421</v>
      </c>
      <c r="G19" s="84">
        <f>D19-E19</f>
        <v>-1501.7223684210476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128796.48000000001</v>
      </c>
      <c r="E20" s="83">
        <f>E16*I20</f>
        <v>131497.80307692307</v>
      </c>
      <c r="F20" s="83">
        <f t="shared" si="0"/>
        <v>128796.48000000001</v>
      </c>
      <c r="G20" s="84">
        <f>D20-E20</f>
        <v>-2701.3230769230577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205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30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78803.16</v>
      </c>
      <c r="E24" s="87">
        <v>80468.78</v>
      </c>
      <c r="F24" s="87">
        <f>F38</f>
        <v>16004.6878</v>
      </c>
      <c r="G24" s="77">
        <f t="shared" si="1"/>
        <v>-1665.6199999999953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0</v>
      </c>
      <c r="D25" s="90">
        <v>0</v>
      </c>
      <c r="E25" s="90">
        <v>0</v>
      </c>
      <c r="F25" s="90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2007910.3</v>
      </c>
      <c r="E26" s="77">
        <f>SUM(E27:E30)</f>
        <v>2016991.87</v>
      </c>
      <c r="F26" s="77">
        <f>SUM(F27:F30)</f>
        <v>2007910.3</v>
      </c>
      <c r="G26" s="77">
        <f t="shared" si="1"/>
        <v>-9081.570000000065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515</v>
      </c>
      <c r="D27" s="84">
        <v>55605.74</v>
      </c>
      <c r="E27" s="84">
        <v>56562.44</v>
      </c>
      <c r="F27" s="84">
        <f>D27</f>
        <v>55605.74</v>
      </c>
      <c r="G27" s="84">
        <f t="shared" si="1"/>
        <v>-956.7000000000044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583422.95</v>
      </c>
      <c r="E28" s="84">
        <v>586242.63</v>
      </c>
      <c r="F28" s="84">
        <f>D28</f>
        <v>583422.95</v>
      </c>
      <c r="G28" s="84">
        <f t="shared" si="1"/>
        <v>-2819.680000000051</v>
      </c>
    </row>
    <row r="29" spans="1:7" ht="15">
      <c r="A29" s="34" t="s">
        <v>42</v>
      </c>
      <c r="B29" s="34" t="s">
        <v>421</v>
      </c>
      <c r="C29" s="290"/>
      <c r="D29" s="213">
        <v>0</v>
      </c>
      <c r="E29" s="213">
        <v>0</v>
      </c>
      <c r="F29" s="84">
        <f>D29</f>
        <v>0</v>
      </c>
      <c r="G29" s="84">
        <f t="shared" si="1"/>
        <v>0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1368881.61</v>
      </c>
      <c r="E30" s="84">
        <v>1374186.8</v>
      </c>
      <c r="F30" s="84">
        <f>D30</f>
        <v>1368881.61</v>
      </c>
      <c r="G30" s="84">
        <f t="shared" si="1"/>
        <v>-5305.189999999944</v>
      </c>
    </row>
    <row r="31" spans="1:9" s="102" customFormat="1" ht="7.5" customHeight="1" thickBot="1">
      <c r="A31" s="100"/>
      <c r="B31" s="100"/>
      <c r="C31" s="100"/>
      <c r="D31" s="101"/>
      <c r="E31" s="101"/>
      <c r="F31" s="10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483169.42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53205.84170000002</v>
      </c>
      <c r="H34" s="62"/>
      <c r="I34" s="62"/>
    </row>
    <row r="35" spans="1:11" ht="31.5" customHeight="1">
      <c r="A35" s="377" t="s">
        <v>182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SUM(F39:G42)</f>
        <v>16004.6878</v>
      </c>
      <c r="G38" s="419"/>
      <c r="H38" s="250"/>
      <c r="I38" s="251"/>
      <c r="L38" s="116"/>
    </row>
    <row r="39" spans="1:12" ht="15">
      <c r="A39" s="34" t="s">
        <v>16</v>
      </c>
      <c r="B39" s="382" t="s">
        <v>778</v>
      </c>
      <c r="C39" s="384"/>
      <c r="D39" s="119"/>
      <c r="E39" s="119"/>
      <c r="F39" s="446">
        <v>9800</v>
      </c>
      <c r="G39" s="447"/>
      <c r="H39" s="252"/>
      <c r="I39" s="253"/>
      <c r="L39" s="120"/>
    </row>
    <row r="40" spans="1:12" ht="15">
      <c r="A40" s="34" t="s">
        <v>18</v>
      </c>
      <c r="B40" s="382" t="s">
        <v>577</v>
      </c>
      <c r="C40" s="384"/>
      <c r="D40" s="119"/>
      <c r="E40" s="119"/>
      <c r="F40" s="446">
        <v>5400</v>
      </c>
      <c r="G40" s="447"/>
      <c r="H40" s="40"/>
      <c r="I40" s="40"/>
      <c r="L40" s="120"/>
    </row>
    <row r="41" spans="1:12" ht="15">
      <c r="A41" s="34" t="s">
        <v>20</v>
      </c>
      <c r="B41" s="382"/>
      <c r="C41" s="384"/>
      <c r="D41" s="119"/>
      <c r="E41" s="119"/>
      <c r="F41" s="446"/>
      <c r="G41" s="447"/>
      <c r="H41" s="40"/>
      <c r="I41" s="40"/>
      <c r="L41" s="120"/>
    </row>
    <row r="42" spans="1:11" s="67" customFormat="1" ht="15">
      <c r="A42" s="34" t="s">
        <v>22</v>
      </c>
      <c r="B42" s="440" t="s">
        <v>191</v>
      </c>
      <c r="C42" s="441"/>
      <c r="D42" s="124"/>
      <c r="E42" s="124"/>
      <c r="F42" s="429">
        <f>E24*1%</f>
        <v>804.6878</v>
      </c>
      <c r="G42" s="429"/>
      <c r="H42" s="59"/>
      <c r="I42" s="59"/>
      <c r="J42" s="59"/>
      <c r="K42" s="59"/>
    </row>
    <row r="43" s="59" customFormat="1" ht="9" customHeight="1"/>
    <row r="44" spans="1:11" s="59" customFormat="1" ht="15">
      <c r="A44" s="67" t="s">
        <v>55</v>
      </c>
      <c r="B44" s="67"/>
      <c r="C44" s="126" t="s">
        <v>49</v>
      </c>
      <c r="D44" s="67"/>
      <c r="E44" s="67"/>
      <c r="F44" s="67" t="s">
        <v>90</v>
      </c>
      <c r="G44" s="67"/>
      <c r="H44" s="67"/>
      <c r="I44" s="67"/>
      <c r="J44" s="67"/>
      <c r="K44" s="67"/>
    </row>
    <row r="45" spans="1:7" s="59" customFormat="1" ht="15">
      <c r="A45" s="67"/>
      <c r="B45" s="67"/>
      <c r="C45" s="126"/>
      <c r="D45" s="67"/>
      <c r="E45" s="67"/>
      <c r="F45" s="127" t="s">
        <v>438</v>
      </c>
      <c r="G45" s="67"/>
    </row>
    <row r="46" spans="1:10" s="59" customFormat="1" ht="15">
      <c r="A46" s="67" t="s">
        <v>50</v>
      </c>
      <c r="B46" s="67"/>
      <c r="C46" s="126"/>
      <c r="D46" s="67"/>
      <c r="E46" s="67"/>
      <c r="F46" s="67"/>
      <c r="G46" s="67"/>
      <c r="H46" s="157"/>
      <c r="I46" s="157"/>
      <c r="J46" s="157"/>
    </row>
    <row r="47" spans="1:11" ht="15">
      <c r="A47" s="67"/>
      <c r="B47" s="67"/>
      <c r="C47" s="128" t="s">
        <v>51</v>
      </c>
      <c r="D47" s="67"/>
      <c r="E47" s="129"/>
      <c r="F47" s="129"/>
      <c r="G47" s="129"/>
      <c r="H47" s="59"/>
      <c r="I47" s="59"/>
      <c r="J47" s="59"/>
      <c r="K47" s="59"/>
    </row>
    <row r="48" spans="1:11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</sheetData>
  <sheetProtection/>
  <mergeCells count="21">
    <mergeCell ref="F40:G40"/>
    <mergeCell ref="A32:C32"/>
    <mergeCell ref="B41:C41"/>
    <mergeCell ref="F41:G41"/>
    <mergeCell ref="B42:C42"/>
    <mergeCell ref="F42:G42"/>
    <mergeCell ref="B38:C38"/>
    <mergeCell ref="F38:G38"/>
    <mergeCell ref="B39:C39"/>
    <mergeCell ref="F39:G39"/>
    <mergeCell ref="B40:C40"/>
    <mergeCell ref="B37:C37"/>
    <mergeCell ref="F37:G37"/>
    <mergeCell ref="A1:K1"/>
    <mergeCell ref="A2:K2"/>
    <mergeCell ref="A3:K3"/>
    <mergeCell ref="A5:K5"/>
    <mergeCell ref="A9:K9"/>
    <mergeCell ref="A35:K35"/>
    <mergeCell ref="A10:K10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"/>
  <sheetViews>
    <sheetView zoomScalePageLayoutView="0" workbookViewId="0" topLeftCell="A39">
      <selection activeCell="F48" sqref="F48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11.421875" style="57" bestFit="1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226</v>
      </c>
      <c r="H7" s="60">
        <v>152.2</v>
      </c>
    </row>
    <row r="8" spans="1:10" s="59" customFormat="1" ht="12.75">
      <c r="A8" s="59" t="s">
        <v>3</v>
      </c>
      <c r="F8" s="305" t="s">
        <v>517</v>
      </c>
      <c r="H8" s="277">
        <v>199.4</v>
      </c>
      <c r="I8" s="59">
        <v>5661.85</v>
      </c>
      <c r="J8" s="59">
        <f>H7+I8</f>
        <v>5814.05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'[1]Плеханова 2 к.2'!$G$34</f>
        <v>-295277.4986</v>
      </c>
      <c r="H13" s="62"/>
      <c r="I13" s="62"/>
    </row>
    <row r="14" s="59" customFormat="1" ht="6.75" customHeight="1"/>
    <row r="15" spans="1:10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  <c r="J15" s="74">
        <f>D16/12/C16</f>
        <v>5767.558038637852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10.18</v>
      </c>
      <c r="D16" s="76">
        <v>704564.89</v>
      </c>
      <c r="E16" s="76">
        <v>547821.29</v>
      </c>
      <c r="F16" s="76">
        <f aca="true" t="shared" si="0" ref="F16:F22">D16</f>
        <v>704564.89</v>
      </c>
      <c r="G16" s="77">
        <f>D16-E16</f>
        <v>156743.59999999998</v>
      </c>
      <c r="H16" s="78">
        <f>C16</f>
        <v>10.18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239469.00976424362</v>
      </c>
      <c r="E17" s="83">
        <f>E16*I17</f>
        <v>186194.66241650298</v>
      </c>
      <c r="F17" s="83">
        <f t="shared" si="0"/>
        <v>239469.00976424362</v>
      </c>
      <c r="G17" s="84">
        <f>D17-E17</f>
        <v>53274.34734774064</v>
      </c>
      <c r="H17" s="78">
        <f>C17</f>
        <v>3.46</v>
      </c>
      <c r="I17" s="59">
        <f>H17/H16</f>
        <v>0.33988212180746563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116966.07702357564</v>
      </c>
      <c r="E18" s="83">
        <f>E16*I18</f>
        <v>90944.7917583497</v>
      </c>
      <c r="F18" s="83">
        <f t="shared" si="0"/>
        <v>116966.07702357564</v>
      </c>
      <c r="G18" s="84">
        <f>D18-E18</f>
        <v>26021.28526522593</v>
      </c>
      <c r="H18" s="78">
        <f>C18</f>
        <v>1.69</v>
      </c>
      <c r="I18" s="59">
        <f>H18/H16</f>
        <v>0.16601178781925344</v>
      </c>
    </row>
    <row r="19" spans="1:9" s="59" customFormat="1" ht="15">
      <c r="A19" s="81" t="s">
        <v>20</v>
      </c>
      <c r="B19" s="34" t="s">
        <v>21</v>
      </c>
      <c r="C19" s="82">
        <v>1.99</v>
      </c>
      <c r="D19" s="83">
        <f>D16*I19</f>
        <v>137729.28596267191</v>
      </c>
      <c r="E19" s="83">
        <f>E16*I19</f>
        <v>107088.83763261298</v>
      </c>
      <c r="F19" s="83">
        <f t="shared" si="0"/>
        <v>137729.28596267191</v>
      </c>
      <c r="G19" s="84">
        <f>D19-E19</f>
        <v>30640.448330058935</v>
      </c>
      <c r="H19" s="78">
        <f>C19</f>
        <v>1.99</v>
      </c>
      <c r="I19" s="59">
        <f>H19/H16</f>
        <v>0.19548133595284872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210400.51724950885</v>
      </c>
      <c r="E20" s="83">
        <f>E16*I20</f>
        <v>163592.9981925344</v>
      </c>
      <c r="F20" s="83">
        <f t="shared" si="0"/>
        <v>210400.51724950885</v>
      </c>
      <c r="G20" s="84">
        <f>D20-E20</f>
        <v>46807.519056974445</v>
      </c>
      <c r="H20" s="78">
        <f>C20</f>
        <v>3.04</v>
      </c>
      <c r="I20" s="59">
        <f>H20/H16</f>
        <v>0.29862475442043224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205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3.86</v>
      </c>
      <c r="D23" s="87">
        <v>266939.4</v>
      </c>
      <c r="E23" s="87">
        <v>207713.39</v>
      </c>
      <c r="F23" s="87">
        <v>0</v>
      </c>
      <c r="G23" s="77">
        <f t="shared" si="1"/>
        <v>59226.01000000001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5</v>
      </c>
      <c r="D24" s="87">
        <v>244125.05</v>
      </c>
      <c r="E24" s="87">
        <v>179775.37</v>
      </c>
      <c r="F24" s="87">
        <f>F41</f>
        <v>97517.7537</v>
      </c>
      <c r="G24" s="77">
        <f t="shared" si="1"/>
        <v>64349.67999999999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4131034.9699999997</v>
      </c>
      <c r="E26" s="77">
        <f>SUM(E27:E30)</f>
        <v>3267231.12</v>
      </c>
      <c r="F26" s="77">
        <f>SUM(F27:F30)</f>
        <v>4131034.9699999997</v>
      </c>
      <c r="G26" s="77">
        <f t="shared" si="1"/>
        <v>863803.8499999996</v>
      </c>
      <c r="H26" s="98"/>
      <c r="I26" s="98"/>
      <c r="J26" s="98"/>
      <c r="K26" s="98"/>
    </row>
    <row r="27" spans="1:7" ht="15">
      <c r="A27" s="34" t="s">
        <v>37</v>
      </c>
      <c r="B27" s="34" t="s">
        <v>261</v>
      </c>
      <c r="C27" s="297" t="s">
        <v>426</v>
      </c>
      <c r="D27" s="84">
        <v>1243061.53</v>
      </c>
      <c r="E27" s="84">
        <v>977698.62</v>
      </c>
      <c r="F27" s="84">
        <f>D27</f>
        <v>1243061.53</v>
      </c>
      <c r="G27" s="84">
        <f t="shared" si="1"/>
        <v>265362.91000000003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579093.97</v>
      </c>
      <c r="E28" s="84">
        <v>488796.4</v>
      </c>
      <c r="F28" s="84">
        <f>D28</f>
        <v>579093.97</v>
      </c>
      <c r="G28" s="84">
        <f t="shared" si="1"/>
        <v>90297.56999999995</v>
      </c>
    </row>
    <row r="29" spans="1:7" ht="15">
      <c r="A29" s="34" t="s">
        <v>42</v>
      </c>
      <c r="B29" s="34" t="s">
        <v>421</v>
      </c>
      <c r="C29" s="290" t="s">
        <v>408</v>
      </c>
      <c r="D29" s="84">
        <v>78019.67</v>
      </c>
      <c r="E29" s="84">
        <v>60713.45</v>
      </c>
      <c r="F29" s="84">
        <f>D29</f>
        <v>78019.67</v>
      </c>
      <c r="G29" s="84">
        <f t="shared" si="1"/>
        <v>17306.22</v>
      </c>
    </row>
    <row r="30" spans="1:7" ht="15">
      <c r="A30" s="34" t="s">
        <v>41</v>
      </c>
      <c r="B30" s="34" t="s">
        <v>43</v>
      </c>
      <c r="C30" s="289" t="s">
        <v>407</v>
      </c>
      <c r="D30" s="84">
        <v>2230859.8</v>
      </c>
      <c r="E30" s="84">
        <v>1740022.65</v>
      </c>
      <c r="F30" s="84">
        <f>D30</f>
        <v>2230859.8</v>
      </c>
      <c r="G30" s="84">
        <f t="shared" si="1"/>
        <v>490837.1499999999</v>
      </c>
    </row>
    <row r="31" spans="1:9" s="102" customFormat="1" ht="21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5222293.28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11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-213019.8823</v>
      </c>
      <c r="H34" s="62"/>
      <c r="I34" s="62"/>
      <c r="K34" s="146"/>
    </row>
    <row r="35" spans="1:11" s="67" customFormat="1" ht="15">
      <c r="A35" s="523" t="s">
        <v>145</v>
      </c>
      <c r="B35" s="523"/>
      <c r="C35" s="68"/>
      <c r="D35" s="40"/>
      <c r="E35" s="66"/>
      <c r="F35" s="66"/>
      <c r="G35" s="40"/>
      <c r="H35" s="62"/>
      <c r="I35" s="62"/>
      <c r="K35" s="146"/>
    </row>
    <row r="36" spans="1:11" s="67" customFormat="1" ht="15">
      <c r="A36" s="492" t="s">
        <v>146</v>
      </c>
      <c r="B36" s="493"/>
      <c r="C36" s="44" t="s">
        <v>147</v>
      </c>
      <c r="D36" s="44" t="s">
        <v>148</v>
      </c>
      <c r="E36" s="45" t="s">
        <v>149</v>
      </c>
      <c r="F36" s="42" t="s">
        <v>150</v>
      </c>
      <c r="G36" s="45" t="s">
        <v>151</v>
      </c>
      <c r="H36" s="62"/>
      <c r="I36" s="62"/>
      <c r="K36" s="146"/>
    </row>
    <row r="37" spans="1:11" s="67" customFormat="1" ht="15.75" thickBot="1">
      <c r="A37" s="494"/>
      <c r="B37" s="495"/>
      <c r="C37" s="298">
        <v>199.4</v>
      </c>
      <c r="D37" s="154">
        <f>E37/12/C37</f>
        <v>23.232535105315947</v>
      </c>
      <c r="E37" s="238">
        <v>55590.81</v>
      </c>
      <c r="F37" s="238">
        <v>55590.81</v>
      </c>
      <c r="G37" s="154">
        <f>E37-F37</f>
        <v>0</v>
      </c>
      <c r="H37" s="62"/>
      <c r="I37" s="62"/>
      <c r="K37" s="146"/>
    </row>
    <row r="38" spans="1:11" ht="31.5" customHeight="1">
      <c r="A38" s="546" t="s">
        <v>182</v>
      </c>
      <c r="B38" s="547"/>
      <c r="C38" s="547"/>
      <c r="D38" s="547"/>
      <c r="E38" s="547"/>
      <c r="F38" s="547"/>
      <c r="G38" s="547"/>
      <c r="H38" s="58"/>
      <c r="I38" s="58"/>
      <c r="J38" s="58"/>
      <c r="K38" s="58"/>
    </row>
    <row r="40" spans="1:12" s="74" customFormat="1" ht="37.5" customHeight="1">
      <c r="A40" s="105" t="s">
        <v>11</v>
      </c>
      <c r="B40" s="401" t="s">
        <v>45</v>
      </c>
      <c r="C40" s="420"/>
      <c r="D40" s="105" t="s">
        <v>165</v>
      </c>
      <c r="E40" s="105" t="s">
        <v>164</v>
      </c>
      <c r="F40" s="535" t="s">
        <v>46</v>
      </c>
      <c r="G40" s="535"/>
      <c r="H40" s="106"/>
      <c r="I40" s="107"/>
      <c r="L40" s="108"/>
    </row>
    <row r="41" spans="1:12" s="115" customFormat="1" ht="15" customHeight="1">
      <c r="A41" s="109" t="s">
        <v>47</v>
      </c>
      <c r="B41" s="403" t="s">
        <v>111</v>
      </c>
      <c r="C41" s="425"/>
      <c r="D41" s="111"/>
      <c r="E41" s="111"/>
      <c r="F41" s="543">
        <f>SUM(F42:G47)</f>
        <v>97517.7537</v>
      </c>
      <c r="G41" s="544"/>
      <c r="H41" s="113"/>
      <c r="I41" s="114"/>
      <c r="L41" s="116"/>
    </row>
    <row r="42" spans="1:12" ht="15">
      <c r="A42" s="34" t="s">
        <v>16</v>
      </c>
      <c r="B42" s="413" t="s">
        <v>262</v>
      </c>
      <c r="C42" s="423"/>
      <c r="D42" s="349" t="s">
        <v>230</v>
      </c>
      <c r="E42" s="349">
        <v>0.02</v>
      </c>
      <c r="F42" s="431">
        <v>1919</v>
      </c>
      <c r="G42" s="431"/>
      <c r="H42" s="40"/>
      <c r="I42" s="40"/>
      <c r="L42" s="120"/>
    </row>
    <row r="43" spans="1:12" ht="33" customHeight="1">
      <c r="A43" s="34" t="s">
        <v>18</v>
      </c>
      <c r="B43" s="413" t="s">
        <v>557</v>
      </c>
      <c r="C43" s="423"/>
      <c r="D43" s="349" t="s">
        <v>166</v>
      </c>
      <c r="E43" s="349">
        <v>1</v>
      </c>
      <c r="F43" s="431">
        <v>51850</v>
      </c>
      <c r="G43" s="431"/>
      <c r="H43" s="40"/>
      <c r="I43" s="40"/>
      <c r="L43" s="120"/>
    </row>
    <row r="44" spans="1:12" ht="15">
      <c r="A44" s="34" t="s">
        <v>20</v>
      </c>
      <c r="B44" s="413" t="s">
        <v>558</v>
      </c>
      <c r="C44" s="423"/>
      <c r="D44" s="349" t="s">
        <v>230</v>
      </c>
      <c r="E44" s="349">
        <v>0.01</v>
      </c>
      <c r="F44" s="431">
        <v>11257.04</v>
      </c>
      <c r="G44" s="431"/>
      <c r="H44" s="40"/>
      <c r="I44" s="40"/>
      <c r="L44" s="120"/>
    </row>
    <row r="45" spans="1:12" ht="15">
      <c r="A45" s="34" t="s">
        <v>22</v>
      </c>
      <c r="B45" s="413" t="s">
        <v>559</v>
      </c>
      <c r="C45" s="423"/>
      <c r="D45" s="349" t="s">
        <v>229</v>
      </c>
      <c r="E45" s="349">
        <v>0.07</v>
      </c>
      <c r="F45" s="431">
        <v>21035.95</v>
      </c>
      <c r="G45" s="431"/>
      <c r="H45" s="40"/>
      <c r="I45" s="40"/>
      <c r="L45" s="120"/>
    </row>
    <row r="46" spans="1:12" ht="15">
      <c r="A46" s="34" t="s">
        <v>24</v>
      </c>
      <c r="B46" s="413" t="s">
        <v>262</v>
      </c>
      <c r="C46" s="423"/>
      <c r="D46" s="349" t="s">
        <v>230</v>
      </c>
      <c r="E46" s="349">
        <v>0.01</v>
      </c>
      <c r="F46" s="431">
        <v>9658.01</v>
      </c>
      <c r="G46" s="431"/>
      <c r="H46" s="40"/>
      <c r="I46" s="40"/>
      <c r="L46" s="120"/>
    </row>
    <row r="47" spans="1:11" s="67" customFormat="1" ht="15">
      <c r="A47" s="34" t="s">
        <v>103</v>
      </c>
      <c r="B47" s="440" t="s">
        <v>191</v>
      </c>
      <c r="C47" s="441"/>
      <c r="D47" s="124"/>
      <c r="E47" s="124"/>
      <c r="F47" s="429">
        <f>E24*1%</f>
        <v>1797.7537</v>
      </c>
      <c r="G47" s="429"/>
      <c r="H47" s="59"/>
      <c r="I47" s="59"/>
      <c r="J47" s="59"/>
      <c r="K47" s="59"/>
    </row>
    <row r="48" s="59" customFormat="1" ht="9" customHeight="1"/>
    <row r="49" spans="1:11" s="59" customFormat="1" ht="15">
      <c r="A49" s="67" t="s">
        <v>55</v>
      </c>
      <c r="B49" s="67"/>
      <c r="C49" s="126" t="s">
        <v>49</v>
      </c>
      <c r="D49" s="67"/>
      <c r="E49" s="67"/>
      <c r="F49" s="67" t="s">
        <v>90</v>
      </c>
      <c r="G49" s="67"/>
      <c r="H49" s="67"/>
      <c r="I49" s="67"/>
      <c r="J49" s="67"/>
      <c r="K49" s="67"/>
    </row>
    <row r="50" spans="1:7" s="59" customFormat="1" ht="15">
      <c r="A50" s="67"/>
      <c r="B50" s="67"/>
      <c r="C50" s="126"/>
      <c r="D50" s="67"/>
      <c r="E50" s="67"/>
      <c r="F50" s="127" t="s">
        <v>438</v>
      </c>
      <c r="G50" s="67"/>
    </row>
    <row r="51" spans="1:10" s="59" customFormat="1" ht="15">
      <c r="A51" s="67" t="s">
        <v>50</v>
      </c>
      <c r="B51" s="67"/>
      <c r="C51" s="126"/>
      <c r="D51" s="67"/>
      <c r="E51" s="67"/>
      <c r="F51" s="67"/>
      <c r="G51" s="67"/>
      <c r="H51" s="157"/>
      <c r="I51" s="157"/>
      <c r="J51" s="157"/>
    </row>
    <row r="52" spans="1:11" ht="15">
      <c r="A52" s="67"/>
      <c r="B52" s="67"/>
      <c r="C52" s="128" t="s">
        <v>51</v>
      </c>
      <c r="D52" s="67"/>
      <c r="E52" s="129"/>
      <c r="F52" s="129"/>
      <c r="G52" s="129"/>
      <c r="H52" s="59"/>
      <c r="I52" s="59"/>
      <c r="J52" s="59"/>
      <c r="K52" s="59"/>
    </row>
    <row r="53" spans="1:11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</sheetData>
  <sheetProtection/>
  <mergeCells count="28">
    <mergeCell ref="B46:C46"/>
    <mergeCell ref="F46:G46"/>
    <mergeCell ref="B47:C47"/>
    <mergeCell ref="F47:G47"/>
    <mergeCell ref="B41:C41"/>
    <mergeCell ref="F41:G41"/>
    <mergeCell ref="B42:C42"/>
    <mergeCell ref="F42:G42"/>
    <mergeCell ref="B43:C43"/>
    <mergeCell ref="F43:G43"/>
    <mergeCell ref="A11:K11"/>
    <mergeCell ref="A32:C32"/>
    <mergeCell ref="B40:C40"/>
    <mergeCell ref="F40:G40"/>
    <mergeCell ref="A38:G38"/>
    <mergeCell ref="A31:F31"/>
    <mergeCell ref="A35:B35"/>
    <mergeCell ref="A36:B37"/>
    <mergeCell ref="B45:C45"/>
    <mergeCell ref="F45:G45"/>
    <mergeCell ref="A1:K1"/>
    <mergeCell ref="A2:K2"/>
    <mergeCell ref="A3:K3"/>
    <mergeCell ref="A5:K5"/>
    <mergeCell ref="A9:K9"/>
    <mergeCell ref="A10:K10"/>
    <mergeCell ref="B44:C44"/>
    <mergeCell ref="F44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7030A0"/>
  </sheetPr>
  <dimension ref="A1:N63"/>
  <sheetViews>
    <sheetView zoomScalePageLayoutView="0" workbookViewId="0" topLeftCell="A36">
      <selection activeCell="F54" sqref="F54:G54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10" s="59" customFormat="1" ht="16.5" customHeight="1">
      <c r="A7" s="59" t="s">
        <v>2</v>
      </c>
      <c r="F7" s="60" t="s">
        <v>266</v>
      </c>
      <c r="H7" s="307">
        <v>22470.7</v>
      </c>
      <c r="I7" s="308">
        <f>90.3+149.8+74</f>
        <v>314.1</v>
      </c>
      <c r="J7" s="59">
        <f>H7+I7</f>
        <v>22784.8</v>
      </c>
    </row>
    <row r="8" spans="1:8" s="59" customFormat="1" ht="12.75">
      <c r="A8" s="59" t="s">
        <v>3</v>
      </c>
      <c r="F8" s="305" t="s">
        <v>519</v>
      </c>
      <c r="H8" s="60"/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518</v>
      </c>
      <c r="B13" s="64"/>
      <c r="C13" s="64"/>
      <c r="D13" s="69"/>
      <c r="E13" s="70"/>
      <c r="F13" s="70"/>
      <c r="G13" s="65">
        <f>'[1]65 лет Победы 29'!$G$36</f>
        <v>-318755.4795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C17+C18+C19+C20+C21</f>
        <v>12.69</v>
      </c>
      <c r="D16" s="76">
        <v>3489165.67</v>
      </c>
      <c r="E16" s="76">
        <v>3226668.61</v>
      </c>
      <c r="F16" s="76">
        <f aca="true" t="shared" si="0" ref="F16:F23">D16</f>
        <v>3489165.67</v>
      </c>
      <c r="G16" s="77">
        <f aca="true" t="shared" si="1" ref="G16:G21">D16-E16</f>
        <v>262497.06000000006</v>
      </c>
      <c r="H16" s="78">
        <f aca="true" t="shared" si="2" ref="H16:H21">C16</f>
        <v>12.69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951340.6791331758</v>
      </c>
      <c r="E17" s="83">
        <f>E16*I17</f>
        <v>879769.3767218282</v>
      </c>
      <c r="F17" s="83">
        <f t="shared" si="0"/>
        <v>951340.6791331758</v>
      </c>
      <c r="G17" s="84">
        <f t="shared" si="1"/>
        <v>71571.30241134751</v>
      </c>
      <c r="H17" s="78">
        <f t="shared" si="2"/>
        <v>3.46</v>
      </c>
      <c r="I17" s="59">
        <f>H17/H16</f>
        <v>0.272655634357762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464672.18142631993</v>
      </c>
      <c r="E18" s="83">
        <f>E16*I18</f>
        <v>429713.94412135537</v>
      </c>
      <c r="F18" s="83">
        <f t="shared" si="0"/>
        <v>464672.18142631993</v>
      </c>
      <c r="G18" s="84">
        <f t="shared" si="1"/>
        <v>34958.23730496457</v>
      </c>
      <c r="H18" s="78">
        <f t="shared" si="2"/>
        <v>1.69</v>
      </c>
      <c r="I18" s="59">
        <f>H18/H16</f>
        <v>0.13317572892040977</v>
      </c>
    </row>
    <row r="19" spans="1:9" s="59" customFormat="1" ht="15">
      <c r="A19" s="81" t="s">
        <v>20</v>
      </c>
      <c r="B19" s="34" t="s">
        <v>21</v>
      </c>
      <c r="C19" s="82">
        <v>1.99</v>
      </c>
      <c r="D19" s="83">
        <f>D16*I19</f>
        <v>547158.3674783293</v>
      </c>
      <c r="E19" s="83">
        <f>E16*I19</f>
        <v>505994.5259180457</v>
      </c>
      <c r="F19" s="83">
        <f t="shared" si="0"/>
        <v>547158.3674783293</v>
      </c>
      <c r="G19" s="84">
        <f t="shared" si="1"/>
        <v>41163.84156028362</v>
      </c>
      <c r="H19" s="78">
        <f t="shared" si="2"/>
        <v>1.99</v>
      </c>
      <c r="I19" s="59">
        <f>H19/H16</f>
        <v>0.15681639085894405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835860.0186603625</v>
      </c>
      <c r="E20" s="83">
        <f>E16*I20</f>
        <v>772976.5622064618</v>
      </c>
      <c r="F20" s="83">
        <f t="shared" si="0"/>
        <v>835860.0186603625</v>
      </c>
      <c r="G20" s="84">
        <f t="shared" si="1"/>
        <v>62883.45645390067</v>
      </c>
      <c r="H20" s="78">
        <f t="shared" si="2"/>
        <v>3.04</v>
      </c>
      <c r="I20" s="59">
        <f>H20/H16</f>
        <v>0.23955870764381404</v>
      </c>
    </row>
    <row r="21" spans="1:9" s="59" customFormat="1" ht="15">
      <c r="A21" s="81" t="s">
        <v>24</v>
      </c>
      <c r="B21" s="34" t="s">
        <v>144</v>
      </c>
      <c r="C21" s="82">
        <v>2.51</v>
      </c>
      <c r="D21" s="83">
        <f>D17*I21</f>
        <v>690134.4233018124</v>
      </c>
      <c r="E21" s="83">
        <f>E17*I21</f>
        <v>638214.2010323089</v>
      </c>
      <c r="F21" s="83">
        <f>D21</f>
        <v>690134.4233018124</v>
      </c>
      <c r="G21" s="84">
        <f t="shared" si="1"/>
        <v>51920.222269503516</v>
      </c>
      <c r="H21" s="78">
        <f t="shared" si="2"/>
        <v>2.51</v>
      </c>
      <c r="I21" s="59">
        <f>H21/H17</f>
        <v>0.7254335260115606</v>
      </c>
    </row>
    <row r="22" spans="1:11" s="89" customFormat="1" ht="14.25">
      <c r="A22" s="86" t="s">
        <v>25</v>
      </c>
      <c r="B22" s="86" t="s">
        <v>221</v>
      </c>
      <c r="C22" s="46">
        <v>0</v>
      </c>
      <c r="D22" s="87">
        <v>385.78</v>
      </c>
      <c r="E22" s="87">
        <v>836.16</v>
      </c>
      <c r="F22" s="87">
        <f>D22</f>
        <v>385.78</v>
      </c>
      <c r="G22" s="77">
        <f aca="true" t="shared" si="3" ref="G22:G32">D22-E22</f>
        <v>-450.38</v>
      </c>
      <c r="H22" s="88"/>
      <c r="I22" s="88"/>
      <c r="J22" s="88"/>
      <c r="K22" s="88"/>
    </row>
    <row r="23" spans="1:11" s="89" customFormat="1" ht="14.25">
      <c r="A23" s="86" t="s">
        <v>27</v>
      </c>
      <c r="B23" s="86" t="s">
        <v>205</v>
      </c>
      <c r="C23" s="46">
        <v>0</v>
      </c>
      <c r="D23" s="87">
        <v>0</v>
      </c>
      <c r="E23" s="87">
        <v>0</v>
      </c>
      <c r="F23" s="87">
        <f t="shared" si="0"/>
        <v>0</v>
      </c>
      <c r="G23" s="77">
        <f t="shared" si="3"/>
        <v>0</v>
      </c>
      <c r="H23" s="88"/>
      <c r="I23" s="88"/>
      <c r="J23" s="88"/>
      <c r="K23" s="88"/>
    </row>
    <row r="24" spans="1:11" s="89" customFormat="1" ht="14.25">
      <c r="A24" s="86" t="s">
        <v>29</v>
      </c>
      <c r="B24" s="86" t="s">
        <v>26</v>
      </c>
      <c r="C24" s="46">
        <v>3.86</v>
      </c>
      <c r="D24" s="87">
        <v>1047786.84</v>
      </c>
      <c r="E24" s="87">
        <v>970705.66</v>
      </c>
      <c r="F24" s="87">
        <f>D24</f>
        <v>1047786.84</v>
      </c>
      <c r="G24" s="77">
        <f t="shared" si="3"/>
        <v>77081.17999999993</v>
      </c>
      <c r="H24" s="88"/>
      <c r="I24" s="88"/>
      <c r="J24" s="88"/>
      <c r="K24" s="88"/>
    </row>
    <row r="25" spans="1:11" s="89" customFormat="1" ht="14.25">
      <c r="A25" s="86" t="s">
        <v>31</v>
      </c>
      <c r="B25" s="86" t="s">
        <v>116</v>
      </c>
      <c r="C25" s="95">
        <v>2.06</v>
      </c>
      <c r="D25" s="87">
        <v>562907.1</v>
      </c>
      <c r="E25" s="87">
        <v>522054.93</v>
      </c>
      <c r="F25" s="87">
        <f>F40</f>
        <v>973164.0785999999</v>
      </c>
      <c r="G25" s="77">
        <f t="shared" si="3"/>
        <v>40852.169999999984</v>
      </c>
      <c r="H25" s="88"/>
      <c r="I25" s="88"/>
      <c r="J25" s="88"/>
      <c r="K25" s="88"/>
    </row>
    <row r="26" spans="1:11" ht="14.25">
      <c r="A26" s="41" t="s">
        <v>33</v>
      </c>
      <c r="B26" s="41" t="s">
        <v>163</v>
      </c>
      <c r="C26" s="97" t="s">
        <v>334</v>
      </c>
      <c r="D26" s="90">
        <v>0</v>
      </c>
      <c r="E26" s="90">
        <v>0</v>
      </c>
      <c r="F26" s="90">
        <f>D26</f>
        <v>0</v>
      </c>
      <c r="G26" s="77">
        <f t="shared" si="3"/>
        <v>0</v>
      </c>
      <c r="H26" s="98"/>
      <c r="I26" s="98"/>
      <c r="J26" s="98"/>
      <c r="K26" s="98"/>
    </row>
    <row r="27" spans="1:11" ht="14.25">
      <c r="A27" s="41" t="s">
        <v>35</v>
      </c>
      <c r="B27" s="41" t="s">
        <v>188</v>
      </c>
      <c r="C27" s="97">
        <v>1.32</v>
      </c>
      <c r="D27" s="77">
        <v>360921.96</v>
      </c>
      <c r="E27" s="77">
        <v>337817.74</v>
      </c>
      <c r="F27" s="90">
        <f>F56</f>
        <v>336150</v>
      </c>
      <c r="G27" s="77">
        <f t="shared" si="3"/>
        <v>23104.22000000003</v>
      </c>
      <c r="H27" s="98"/>
      <c r="I27" s="98"/>
      <c r="J27" s="98"/>
      <c r="K27" s="98"/>
    </row>
    <row r="28" spans="1:11" ht="14.25">
      <c r="A28" s="41" t="s">
        <v>204</v>
      </c>
      <c r="B28" s="41" t="s">
        <v>36</v>
      </c>
      <c r="C28" s="97"/>
      <c r="D28" s="77">
        <f>SUM(D29:D32)</f>
        <v>3440702.9000000004</v>
      </c>
      <c r="E28" s="77">
        <f>SUM(E29:E32)</f>
        <v>3337198.31</v>
      </c>
      <c r="F28" s="77">
        <f>SUM(F29:F32)</f>
        <v>2265703.36</v>
      </c>
      <c r="G28" s="77">
        <f t="shared" si="3"/>
        <v>103504.59000000032</v>
      </c>
      <c r="H28" s="98"/>
      <c r="I28" s="98"/>
      <c r="J28" s="98"/>
      <c r="K28" s="98"/>
    </row>
    <row r="29" spans="1:7" ht="15">
      <c r="A29" s="34" t="s">
        <v>206</v>
      </c>
      <c r="B29" s="34" t="s">
        <v>167</v>
      </c>
      <c r="C29" s="297" t="s">
        <v>426</v>
      </c>
      <c r="D29" s="84">
        <v>1263263.44</v>
      </c>
      <c r="E29" s="84">
        <v>1175230.83</v>
      </c>
      <c r="F29" s="84">
        <v>88263.9</v>
      </c>
      <c r="G29" s="84">
        <f t="shared" si="3"/>
        <v>88032.60999999987</v>
      </c>
    </row>
    <row r="30" spans="1:7" ht="15">
      <c r="A30" s="34" t="s">
        <v>207</v>
      </c>
      <c r="B30" s="34" t="s">
        <v>138</v>
      </c>
      <c r="C30" s="289" t="s">
        <v>409</v>
      </c>
      <c r="D30" s="84">
        <v>1423278.22</v>
      </c>
      <c r="E30" s="84">
        <v>1439894.3</v>
      </c>
      <c r="F30" s="84">
        <f>D30</f>
        <v>1423278.22</v>
      </c>
      <c r="G30" s="84">
        <f t="shared" si="3"/>
        <v>-16616.080000000075</v>
      </c>
    </row>
    <row r="31" spans="1:7" ht="15">
      <c r="A31" s="34" t="s">
        <v>208</v>
      </c>
      <c r="B31" s="51" t="s">
        <v>520</v>
      </c>
      <c r="C31" s="289" t="s">
        <v>409</v>
      </c>
      <c r="D31" s="84">
        <v>754161.24</v>
      </c>
      <c r="E31" s="84">
        <v>722073.18</v>
      </c>
      <c r="F31" s="84">
        <f>D31</f>
        <v>754161.24</v>
      </c>
      <c r="G31" s="84">
        <f t="shared" si="3"/>
        <v>32088.05999999994</v>
      </c>
    </row>
    <row r="32" spans="1:7" s="276" customFormat="1" ht="15">
      <c r="A32" s="271" t="s">
        <v>209</v>
      </c>
      <c r="B32" s="271" t="s">
        <v>43</v>
      </c>
      <c r="C32" s="144">
        <v>0</v>
      </c>
      <c r="D32" s="213">
        <v>0</v>
      </c>
      <c r="E32" s="213">
        <v>0</v>
      </c>
      <c r="F32" s="213">
        <f>D32</f>
        <v>0</v>
      </c>
      <c r="G32" s="84">
        <f t="shared" si="3"/>
        <v>0</v>
      </c>
    </row>
    <row r="33" spans="1:9" s="102" customFormat="1" ht="21" customHeight="1" thickBot="1">
      <c r="A33" s="379" t="s">
        <v>328</v>
      </c>
      <c r="B33" s="380"/>
      <c r="C33" s="380"/>
      <c r="D33" s="381"/>
      <c r="E33" s="381"/>
      <c r="F33" s="381"/>
      <c r="G33" s="101"/>
      <c r="H33" s="101"/>
      <c r="I33" s="101"/>
    </row>
    <row r="34" spans="1:9" s="67" customFormat="1" ht="15.75" thickBot="1">
      <c r="A34" s="391" t="s">
        <v>410</v>
      </c>
      <c r="B34" s="392"/>
      <c r="C34" s="392"/>
      <c r="D34" s="65">
        <v>3279716.38</v>
      </c>
      <c r="E34" s="66"/>
      <c r="F34" s="66"/>
      <c r="G34" s="66"/>
      <c r="H34" s="62"/>
      <c r="I34" s="62"/>
    </row>
    <row r="35" spans="1:9" s="67" customFormat="1" ht="6" customHeight="1" thickBot="1">
      <c r="A35" s="68"/>
      <c r="B35" s="68"/>
      <c r="C35" s="68"/>
      <c r="D35" s="40"/>
      <c r="E35" s="66"/>
      <c r="F35" s="66"/>
      <c r="G35" s="66"/>
      <c r="H35" s="62"/>
      <c r="I35" s="62"/>
    </row>
    <row r="36" spans="1:9" s="67" customFormat="1" ht="15.75" thickBot="1">
      <c r="A36" s="63" t="s">
        <v>413</v>
      </c>
      <c r="B36" s="64"/>
      <c r="C36" s="64"/>
      <c r="D36" s="69"/>
      <c r="E36" s="70"/>
      <c r="F36" s="70"/>
      <c r="G36" s="145">
        <f>G13+E25-F25</f>
        <v>-769864.6280999999</v>
      </c>
      <c r="H36" s="62"/>
      <c r="I36" s="62"/>
    </row>
    <row r="37" spans="1:11" ht="31.5" customHeight="1">
      <c r="A37" s="464" t="s">
        <v>182</v>
      </c>
      <c r="B37" s="465"/>
      <c r="C37" s="465"/>
      <c r="D37" s="465"/>
      <c r="E37" s="465"/>
      <c r="F37" s="465"/>
      <c r="G37" s="465"/>
      <c r="H37" s="58"/>
      <c r="I37" s="58"/>
      <c r="J37" s="58"/>
      <c r="K37" s="58"/>
    </row>
    <row r="39" spans="1:12" s="74" customFormat="1" ht="37.5" customHeight="1">
      <c r="A39" s="105" t="s">
        <v>11</v>
      </c>
      <c r="B39" s="401" t="s">
        <v>45</v>
      </c>
      <c r="C39" s="420"/>
      <c r="D39" s="105" t="s">
        <v>165</v>
      </c>
      <c r="E39" s="105" t="s">
        <v>164</v>
      </c>
      <c r="F39" s="401" t="s">
        <v>46</v>
      </c>
      <c r="G39" s="420"/>
      <c r="H39" s="248"/>
      <c r="I39" s="249"/>
      <c r="L39" s="108"/>
    </row>
    <row r="40" spans="1:12" s="115" customFormat="1" ht="15" customHeight="1">
      <c r="A40" s="109" t="s">
        <v>47</v>
      </c>
      <c r="B40" s="403" t="s">
        <v>111</v>
      </c>
      <c r="C40" s="425"/>
      <c r="D40" s="111"/>
      <c r="E40" s="111"/>
      <c r="F40" s="430">
        <f>SUM(F41:G55)</f>
        <v>973164.0785999999</v>
      </c>
      <c r="G40" s="419"/>
      <c r="H40" s="250"/>
      <c r="I40" s="251"/>
      <c r="L40" s="116"/>
    </row>
    <row r="41" spans="1:12" ht="15">
      <c r="A41" s="34" t="s">
        <v>16</v>
      </c>
      <c r="B41" s="413" t="s">
        <v>551</v>
      </c>
      <c r="C41" s="423"/>
      <c r="D41" s="349" t="s">
        <v>166</v>
      </c>
      <c r="E41" s="349">
        <v>100</v>
      </c>
      <c r="F41" s="566">
        <v>35000</v>
      </c>
      <c r="G41" s="567"/>
      <c r="H41" s="252"/>
      <c r="I41" s="253"/>
      <c r="L41" s="120"/>
    </row>
    <row r="42" spans="1:12" ht="15">
      <c r="A42" s="34" t="s">
        <v>18</v>
      </c>
      <c r="B42" s="413" t="s">
        <v>552</v>
      </c>
      <c r="C42" s="423"/>
      <c r="D42" s="349" t="s">
        <v>166</v>
      </c>
      <c r="E42" s="349">
        <v>5</v>
      </c>
      <c r="F42" s="566">
        <v>3721.5</v>
      </c>
      <c r="G42" s="567"/>
      <c r="H42" s="40"/>
      <c r="I42" s="40"/>
      <c r="L42" s="120"/>
    </row>
    <row r="43" spans="1:12" ht="15">
      <c r="A43" s="34" t="s">
        <v>20</v>
      </c>
      <c r="B43" s="413" t="s">
        <v>553</v>
      </c>
      <c r="C43" s="423"/>
      <c r="D43" s="349" t="s">
        <v>166</v>
      </c>
      <c r="E43" s="349">
        <v>4</v>
      </c>
      <c r="F43" s="566">
        <v>4548</v>
      </c>
      <c r="G43" s="567"/>
      <c r="H43" s="40"/>
      <c r="I43" s="40"/>
      <c r="L43" s="120"/>
    </row>
    <row r="44" spans="1:12" ht="15">
      <c r="A44" s="34" t="s">
        <v>22</v>
      </c>
      <c r="B44" s="413" t="s">
        <v>554</v>
      </c>
      <c r="C44" s="423"/>
      <c r="D44" s="349" t="s">
        <v>236</v>
      </c>
      <c r="E44" s="349">
        <v>1</v>
      </c>
      <c r="F44" s="566">
        <v>5700</v>
      </c>
      <c r="G44" s="567"/>
      <c r="H44" s="40"/>
      <c r="I44" s="40"/>
      <c r="L44" s="120"/>
    </row>
    <row r="45" spans="1:12" ht="15">
      <c r="A45" s="34" t="s">
        <v>24</v>
      </c>
      <c r="B45" s="413" t="s">
        <v>555</v>
      </c>
      <c r="C45" s="423"/>
      <c r="D45" s="119"/>
      <c r="E45" s="119"/>
      <c r="F45" s="566">
        <v>361258</v>
      </c>
      <c r="G45" s="567"/>
      <c r="H45" s="40"/>
      <c r="I45" s="40"/>
      <c r="L45" s="120"/>
    </row>
    <row r="46" spans="1:12" ht="15">
      <c r="A46" s="34" t="s">
        <v>103</v>
      </c>
      <c r="B46" s="413" t="s">
        <v>556</v>
      </c>
      <c r="C46" s="423"/>
      <c r="D46" s="349" t="s">
        <v>166</v>
      </c>
      <c r="E46" s="349">
        <v>1</v>
      </c>
      <c r="F46" s="566">
        <v>136285.6</v>
      </c>
      <c r="G46" s="567"/>
      <c r="H46" s="40"/>
      <c r="I46" s="40"/>
      <c r="L46" s="120"/>
    </row>
    <row r="47" spans="1:12" ht="15">
      <c r="A47" s="34" t="s">
        <v>104</v>
      </c>
      <c r="B47" s="413" t="s">
        <v>379</v>
      </c>
      <c r="C47" s="423"/>
      <c r="D47" s="349" t="s">
        <v>229</v>
      </c>
      <c r="E47" s="353">
        <v>4.146</v>
      </c>
      <c r="F47" s="566">
        <v>331751.88</v>
      </c>
      <c r="G47" s="567"/>
      <c r="H47" s="40"/>
      <c r="I47" s="40"/>
      <c r="L47" s="120"/>
    </row>
    <row r="48" spans="1:12" ht="15">
      <c r="A48" s="34" t="s">
        <v>117</v>
      </c>
      <c r="B48" s="382" t="s">
        <v>779</v>
      </c>
      <c r="C48" s="384"/>
      <c r="D48" s="119" t="s">
        <v>166</v>
      </c>
      <c r="E48" s="122">
        <v>1</v>
      </c>
      <c r="F48" s="449">
        <v>1143</v>
      </c>
      <c r="G48" s="450"/>
      <c r="H48" s="40"/>
      <c r="I48" s="40"/>
      <c r="L48" s="120"/>
    </row>
    <row r="49" spans="1:12" ht="15">
      <c r="A49" s="34" t="s">
        <v>118</v>
      </c>
      <c r="B49" s="382" t="s">
        <v>780</v>
      </c>
      <c r="C49" s="384"/>
      <c r="D49" s="119"/>
      <c r="E49" s="119" t="s">
        <v>699</v>
      </c>
      <c r="F49" s="449">
        <v>2315</v>
      </c>
      <c r="G49" s="450"/>
      <c r="H49" s="40"/>
      <c r="I49" s="40"/>
      <c r="L49" s="120"/>
    </row>
    <row r="50" spans="1:12" ht="15">
      <c r="A50" s="34" t="s">
        <v>119</v>
      </c>
      <c r="B50" s="382" t="s">
        <v>781</v>
      </c>
      <c r="C50" s="384"/>
      <c r="D50" s="119" t="s">
        <v>166</v>
      </c>
      <c r="E50" s="119">
        <v>5</v>
      </c>
      <c r="F50" s="446">
        <v>21000</v>
      </c>
      <c r="G50" s="447"/>
      <c r="H50" s="40"/>
      <c r="I50" s="40"/>
      <c r="L50" s="120"/>
    </row>
    <row r="51" spans="1:12" ht="15">
      <c r="A51" s="34" t="s">
        <v>140</v>
      </c>
      <c r="B51" s="382" t="s">
        <v>782</v>
      </c>
      <c r="C51" s="384"/>
      <c r="D51" s="119"/>
      <c r="E51" s="119"/>
      <c r="F51" s="446">
        <v>47000</v>
      </c>
      <c r="G51" s="447"/>
      <c r="H51" s="40"/>
      <c r="I51" s="40"/>
      <c r="L51" s="120"/>
    </row>
    <row r="52" spans="1:12" ht="15">
      <c r="A52" s="34" t="s">
        <v>142</v>
      </c>
      <c r="B52" s="382" t="s">
        <v>752</v>
      </c>
      <c r="C52" s="384"/>
      <c r="D52" s="119"/>
      <c r="E52" s="119"/>
      <c r="F52" s="446">
        <v>13000</v>
      </c>
      <c r="G52" s="447"/>
      <c r="H52" s="40"/>
      <c r="I52" s="40"/>
      <c r="L52" s="120"/>
    </row>
    <row r="53" spans="1:12" ht="15">
      <c r="A53" s="34" t="s">
        <v>143</v>
      </c>
      <c r="B53" s="382"/>
      <c r="C53" s="384"/>
      <c r="D53" s="119"/>
      <c r="E53" s="119"/>
      <c r="F53" s="446"/>
      <c r="G53" s="447"/>
      <c r="H53" s="40"/>
      <c r="I53" s="40"/>
      <c r="L53" s="120"/>
    </row>
    <row r="54" spans="1:12" ht="15">
      <c r="A54" s="34" t="s">
        <v>287</v>
      </c>
      <c r="B54" s="440" t="s">
        <v>191</v>
      </c>
      <c r="C54" s="441"/>
      <c r="D54" s="119"/>
      <c r="E54" s="185"/>
      <c r="F54" s="446">
        <f>(E25)*1%</f>
        <v>5220.5493</v>
      </c>
      <c r="G54" s="447"/>
      <c r="H54" s="40"/>
      <c r="I54" s="40"/>
      <c r="L54" s="120"/>
    </row>
    <row r="55" spans="1:12" ht="15">
      <c r="A55" s="34" t="s">
        <v>287</v>
      </c>
      <c r="B55" s="388" t="s">
        <v>188</v>
      </c>
      <c r="C55" s="568"/>
      <c r="D55" s="124"/>
      <c r="E55" s="124"/>
      <c r="F55" s="429">
        <f>E25*1%</f>
        <v>5220.5493</v>
      </c>
      <c r="G55" s="429"/>
      <c r="H55" s="40"/>
      <c r="I55" s="40"/>
      <c r="L55" s="120"/>
    </row>
    <row r="56" spans="1:12" ht="14.25">
      <c r="A56" s="41" t="s">
        <v>25</v>
      </c>
      <c r="B56" s="382" t="s">
        <v>188</v>
      </c>
      <c r="C56" s="384"/>
      <c r="D56" s="119"/>
      <c r="E56" s="185"/>
      <c r="F56" s="554">
        <f>SUM(F57:F57)</f>
        <v>336150</v>
      </c>
      <c r="G56" s="555"/>
      <c r="H56" s="40"/>
      <c r="I56" s="40"/>
      <c r="L56" s="120"/>
    </row>
    <row r="57" spans="1:12" ht="15">
      <c r="A57" s="34" t="s">
        <v>312</v>
      </c>
      <c r="B57" s="382"/>
      <c r="C57" s="384"/>
      <c r="D57" s="119"/>
      <c r="E57" s="185" t="s">
        <v>393</v>
      </c>
      <c r="F57" s="446">
        <f>20950+315200</f>
        <v>336150</v>
      </c>
      <c r="G57" s="447"/>
      <c r="H57" s="40"/>
      <c r="I57" s="40"/>
      <c r="L57" s="120"/>
    </row>
    <row r="58" spans="2:3" s="59" customFormat="1" ht="9" customHeight="1">
      <c r="B58" s="67"/>
      <c r="C58" s="126" t="s">
        <v>49</v>
      </c>
    </row>
    <row r="59" spans="1:11" s="59" customFormat="1" ht="15">
      <c r="A59" s="67" t="s">
        <v>55</v>
      </c>
      <c r="B59" s="67"/>
      <c r="C59" s="126"/>
      <c r="D59" s="67"/>
      <c r="E59" s="67"/>
      <c r="F59" s="67" t="s">
        <v>90</v>
      </c>
      <c r="G59" s="67"/>
      <c r="H59" s="67"/>
      <c r="I59" s="67"/>
      <c r="J59" s="67"/>
      <c r="K59" s="67"/>
    </row>
    <row r="60" spans="1:7" s="59" customFormat="1" ht="15">
      <c r="A60" s="67"/>
      <c r="B60" s="67"/>
      <c r="C60" s="126"/>
      <c r="D60" s="67"/>
      <c r="E60" s="67"/>
      <c r="F60" s="127" t="s">
        <v>438</v>
      </c>
      <c r="G60" s="67"/>
    </row>
    <row r="61" spans="1:10" s="59" customFormat="1" ht="15">
      <c r="A61" s="67" t="s">
        <v>50</v>
      </c>
      <c r="B61" s="67"/>
      <c r="C61" s="128" t="s">
        <v>51</v>
      </c>
      <c r="D61" s="67"/>
      <c r="E61" s="67"/>
      <c r="F61" s="67"/>
      <c r="G61" s="67"/>
      <c r="H61" s="157"/>
      <c r="I61" s="157"/>
      <c r="J61" s="157"/>
    </row>
    <row r="62" spans="1:11" ht="15">
      <c r="A62" s="67"/>
      <c r="B62" s="59"/>
      <c r="C62" s="59"/>
      <c r="D62" s="67"/>
      <c r="E62" s="129"/>
      <c r="F62" s="129"/>
      <c r="G62" s="129"/>
      <c r="H62" s="59"/>
      <c r="I62" s="59"/>
      <c r="J62" s="59"/>
      <c r="K62" s="59"/>
    </row>
    <row r="63" spans="1:11" ht="12.75">
      <c r="A63" s="59"/>
      <c r="D63" s="59"/>
      <c r="E63" s="59"/>
      <c r="F63" s="59"/>
      <c r="G63" s="59"/>
      <c r="H63" s="59"/>
      <c r="I63" s="59"/>
      <c r="J63" s="59"/>
      <c r="K63" s="59"/>
    </row>
  </sheetData>
  <sheetProtection/>
  <mergeCells count="48">
    <mergeCell ref="B52:C52"/>
    <mergeCell ref="B53:C53"/>
    <mergeCell ref="F51:G51"/>
    <mergeCell ref="F52:G52"/>
    <mergeCell ref="F53:G53"/>
    <mergeCell ref="B56:C56"/>
    <mergeCell ref="F56:G56"/>
    <mergeCell ref="B54:C54"/>
    <mergeCell ref="F55:G55"/>
    <mergeCell ref="B55:C55"/>
    <mergeCell ref="F57:G57"/>
    <mergeCell ref="B57:C57"/>
    <mergeCell ref="B50:C50"/>
    <mergeCell ref="F50:G50"/>
    <mergeCell ref="B46:C46"/>
    <mergeCell ref="B47:C47"/>
    <mergeCell ref="F54:G54"/>
    <mergeCell ref="F48:G48"/>
    <mergeCell ref="B51:C51"/>
    <mergeCell ref="B48:C48"/>
    <mergeCell ref="B49:C49"/>
    <mergeCell ref="B39:C39"/>
    <mergeCell ref="F39:G39"/>
    <mergeCell ref="B42:C42"/>
    <mergeCell ref="B43:C43"/>
    <mergeCell ref="B44:C44"/>
    <mergeCell ref="B45:C45"/>
    <mergeCell ref="F42:G42"/>
    <mergeCell ref="F43:G43"/>
    <mergeCell ref="F44:G44"/>
    <mergeCell ref="A34:C34"/>
    <mergeCell ref="F46:G46"/>
    <mergeCell ref="F47:G47"/>
    <mergeCell ref="A37:G37"/>
    <mergeCell ref="A33:F33"/>
    <mergeCell ref="B40:C40"/>
    <mergeCell ref="F40:G40"/>
    <mergeCell ref="B41:C41"/>
    <mergeCell ref="F41:G41"/>
    <mergeCell ref="F49:G49"/>
    <mergeCell ref="A1:K1"/>
    <mergeCell ref="A2:K2"/>
    <mergeCell ref="A3:K3"/>
    <mergeCell ref="A5:K5"/>
    <mergeCell ref="A9:K9"/>
    <mergeCell ref="A10:K10"/>
    <mergeCell ref="F45:G45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37">
      <selection activeCell="F43" sqref="F43:G43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265</v>
      </c>
      <c r="H7" s="60"/>
    </row>
    <row r="8" spans="1:10" s="59" customFormat="1" ht="12.75">
      <c r="A8" s="59" t="s">
        <v>3</v>
      </c>
      <c r="F8" s="60" t="s">
        <v>521</v>
      </c>
      <c r="H8" s="307">
        <f>I8+J8</f>
        <v>2538.4</v>
      </c>
      <c r="I8" s="308">
        <v>30.9</v>
      </c>
      <c r="J8" s="308">
        <v>2507.5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'[1]Суворова 153 к.5'!$G$34</f>
        <v>-44377.50189999999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9.879999999999999</v>
      </c>
      <c r="D16" s="76">
        <v>300796.67</v>
      </c>
      <c r="E16" s="76">
        <v>289909.44</v>
      </c>
      <c r="F16" s="76">
        <f aca="true" t="shared" si="0" ref="F16:F22">D16</f>
        <v>300796.67</v>
      </c>
      <c r="G16" s="77">
        <f>D16-E16</f>
        <v>10887.229999999981</v>
      </c>
      <c r="H16" s="78">
        <f>C16</f>
        <v>9.879999999999999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105339.72451417004</v>
      </c>
      <c r="E17" s="83">
        <f>E16*I17</f>
        <v>101526.9901214575</v>
      </c>
      <c r="F17" s="83">
        <f t="shared" si="0"/>
        <v>105339.72451417004</v>
      </c>
      <c r="G17" s="84">
        <f>D17-E17</f>
        <v>3812.7343927125476</v>
      </c>
      <c r="H17" s="78">
        <f>C17</f>
        <v>3.46</v>
      </c>
      <c r="I17" s="59">
        <f>H17/H16</f>
        <v>0.3502024291497976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51452.061973684205</v>
      </c>
      <c r="E18" s="83">
        <f>E16*I18</f>
        <v>49589.77263157895</v>
      </c>
      <c r="F18" s="83">
        <f t="shared" si="0"/>
        <v>51452.061973684205</v>
      </c>
      <c r="G18" s="84">
        <f>D18-E18</f>
        <v>1862.2893421052577</v>
      </c>
      <c r="H18" s="78">
        <f>C18</f>
        <v>1.69</v>
      </c>
      <c r="I18" s="59">
        <f>H18/H16</f>
        <v>0.17105263157894737</v>
      </c>
    </row>
    <row r="19" spans="1:9" s="59" customFormat="1" ht="15">
      <c r="A19" s="81" t="s">
        <v>20</v>
      </c>
      <c r="B19" s="34" t="s">
        <v>21</v>
      </c>
      <c r="C19" s="82">
        <v>1.69</v>
      </c>
      <c r="D19" s="83">
        <f>D16*I19</f>
        <v>51452.061973684205</v>
      </c>
      <c r="E19" s="83">
        <f>E16*I19</f>
        <v>49589.77263157895</v>
      </c>
      <c r="F19" s="83">
        <f t="shared" si="0"/>
        <v>51452.061973684205</v>
      </c>
      <c r="G19" s="84">
        <f>D19-E19</f>
        <v>1862.2893421052577</v>
      </c>
      <c r="H19" s="78">
        <f>C19</f>
        <v>1.69</v>
      </c>
      <c r="I19" s="59">
        <f>H19/H16</f>
        <v>0.17105263157894737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92552.82153846153</v>
      </c>
      <c r="E20" s="83">
        <f>E16*I20</f>
        <v>89202.90461538461</v>
      </c>
      <c r="F20" s="83">
        <f t="shared" si="0"/>
        <v>92552.82153846153</v>
      </c>
      <c r="G20" s="84">
        <f>D20-E20</f>
        <v>3349.9169230769185</v>
      </c>
      <c r="H20" s="78">
        <f>C20</f>
        <v>3.04</v>
      </c>
      <c r="I20" s="59">
        <f>H20/H16</f>
        <v>0.3076923076923077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205</v>
      </c>
      <c r="C22" s="46">
        <v>0</v>
      </c>
      <c r="D22" s="87">
        <v>0</v>
      </c>
      <c r="E22" s="87">
        <v>0</v>
      </c>
      <c r="F22" s="87">
        <f t="shared" si="0"/>
        <v>0</v>
      </c>
      <c r="G22" s="77">
        <f t="shared" si="1"/>
        <v>0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1.86</v>
      </c>
      <c r="D24" s="87">
        <v>56599.33</v>
      </c>
      <c r="E24" s="87">
        <v>54577.1</v>
      </c>
      <c r="F24" s="87">
        <f>F38</f>
        <v>102628.61099999999</v>
      </c>
      <c r="G24" s="77">
        <f t="shared" si="1"/>
        <v>2022.2300000000032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335858.66</v>
      </c>
      <c r="E26" s="77">
        <f>SUM(E27:E30)</f>
        <v>359394.29</v>
      </c>
      <c r="F26" s="77">
        <f>SUM(F27:F30)</f>
        <v>335858.66</v>
      </c>
      <c r="G26" s="77">
        <f t="shared" si="1"/>
        <v>-23535.630000000005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7202.48</v>
      </c>
      <c r="E27" s="84">
        <v>6996.13</v>
      </c>
      <c r="F27" s="84">
        <f>D27</f>
        <v>7202.48</v>
      </c>
      <c r="G27" s="84">
        <f t="shared" si="1"/>
        <v>206.34999999999945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328656.18</v>
      </c>
      <c r="E28" s="84">
        <v>352398.16</v>
      </c>
      <c r="F28" s="84">
        <f>D28</f>
        <v>328656.18</v>
      </c>
      <c r="G28" s="84">
        <f t="shared" si="1"/>
        <v>-23741.97999999998</v>
      </c>
    </row>
    <row r="29" spans="1:7" ht="15">
      <c r="A29" s="34" t="s">
        <v>42</v>
      </c>
      <c r="B29" s="51" t="s">
        <v>139</v>
      </c>
      <c r="C29" s="144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s="276" customFormat="1" ht="15">
      <c r="A30" s="271" t="s">
        <v>41</v>
      </c>
      <c r="B30" s="271" t="s">
        <v>43</v>
      </c>
      <c r="C30" s="144">
        <v>0</v>
      </c>
      <c r="D30" s="213">
        <v>0</v>
      </c>
      <c r="E30" s="213">
        <v>0</v>
      </c>
      <c r="F30" s="213">
        <f>D30</f>
        <v>0</v>
      </c>
      <c r="G30" s="84">
        <f t="shared" si="1"/>
        <v>0</v>
      </c>
    </row>
    <row r="31" spans="1:9" s="102" customFormat="1" ht="21.7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65">
        <v>137681.39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-92429.01289999997</v>
      </c>
      <c r="H34" s="62"/>
      <c r="I34" s="62"/>
    </row>
    <row r="35" spans="1:11" ht="31.5" customHeight="1">
      <c r="A35" s="464" t="s">
        <v>182</v>
      </c>
      <c r="B35" s="465"/>
      <c r="C35" s="465"/>
      <c r="D35" s="465"/>
      <c r="E35" s="465"/>
      <c r="F35" s="465"/>
      <c r="G35" s="465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SUM(F39:G43)</f>
        <v>102628.61099999999</v>
      </c>
      <c r="G38" s="419"/>
      <c r="H38" s="250"/>
      <c r="I38" s="251"/>
      <c r="L38" s="116"/>
    </row>
    <row r="39" spans="1:12" ht="24" customHeight="1">
      <c r="A39" s="34" t="s">
        <v>16</v>
      </c>
      <c r="B39" s="413" t="s">
        <v>549</v>
      </c>
      <c r="C39" s="423"/>
      <c r="D39" s="349" t="s">
        <v>247</v>
      </c>
      <c r="E39" s="352">
        <v>0.06</v>
      </c>
      <c r="F39" s="451">
        <v>50762.84</v>
      </c>
      <c r="G39" s="452"/>
      <c r="H39" s="252"/>
      <c r="I39" s="253"/>
      <c r="L39" s="120"/>
    </row>
    <row r="40" spans="1:12" ht="15">
      <c r="A40" s="34" t="s">
        <v>18</v>
      </c>
      <c r="B40" s="413" t="s">
        <v>550</v>
      </c>
      <c r="C40" s="423"/>
      <c r="D40" s="349" t="s">
        <v>548</v>
      </c>
      <c r="E40" s="352">
        <v>3</v>
      </c>
      <c r="F40" s="451">
        <v>1320</v>
      </c>
      <c r="G40" s="452"/>
      <c r="H40" s="40"/>
      <c r="I40" s="40"/>
      <c r="L40" s="120"/>
    </row>
    <row r="41" spans="1:12" ht="15">
      <c r="A41" s="34" t="s">
        <v>20</v>
      </c>
      <c r="B41" s="382" t="s">
        <v>711</v>
      </c>
      <c r="C41" s="384"/>
      <c r="D41" s="349"/>
      <c r="E41" s="352"/>
      <c r="F41" s="446">
        <v>18000</v>
      </c>
      <c r="G41" s="447"/>
      <c r="H41" s="40"/>
      <c r="I41" s="40"/>
      <c r="L41" s="120"/>
    </row>
    <row r="42" spans="1:12" ht="15">
      <c r="A42" s="34" t="s">
        <v>22</v>
      </c>
      <c r="B42" s="382" t="s">
        <v>714</v>
      </c>
      <c r="C42" s="384"/>
      <c r="D42" s="349"/>
      <c r="E42" s="352"/>
      <c r="F42" s="446">
        <v>32000</v>
      </c>
      <c r="G42" s="447"/>
      <c r="H42" s="40"/>
      <c r="I42" s="40"/>
      <c r="L42" s="120"/>
    </row>
    <row r="43" spans="1:11" s="67" customFormat="1" ht="15">
      <c r="A43" s="34" t="s">
        <v>24</v>
      </c>
      <c r="B43" s="440" t="s">
        <v>191</v>
      </c>
      <c r="C43" s="441"/>
      <c r="D43" s="124"/>
      <c r="E43" s="124"/>
      <c r="F43" s="429">
        <f>E24*1%</f>
        <v>545.771</v>
      </c>
      <c r="G43" s="429"/>
      <c r="H43" s="59"/>
      <c r="I43" s="59"/>
      <c r="J43" s="59"/>
      <c r="K43" s="59"/>
    </row>
    <row r="44" s="59" customFormat="1" ht="9" customHeight="1"/>
    <row r="45" spans="1:11" s="59" customFormat="1" ht="15">
      <c r="A45" s="67" t="s">
        <v>55</v>
      </c>
      <c r="B45" s="67"/>
      <c r="C45" s="126" t="s">
        <v>49</v>
      </c>
      <c r="D45" s="67"/>
      <c r="E45" s="67"/>
      <c r="F45" s="67" t="s">
        <v>90</v>
      </c>
      <c r="G45" s="67"/>
      <c r="H45" s="67"/>
      <c r="I45" s="67"/>
      <c r="J45" s="67"/>
      <c r="K45" s="67"/>
    </row>
    <row r="46" spans="1:7" s="59" customFormat="1" ht="15">
      <c r="A46" s="67"/>
      <c r="B46" s="67"/>
      <c r="C46" s="126"/>
      <c r="D46" s="67"/>
      <c r="E46" s="67"/>
      <c r="F46" s="127" t="s">
        <v>438</v>
      </c>
      <c r="G46" s="67"/>
    </row>
    <row r="47" spans="1:10" s="59" customFormat="1" ht="15">
      <c r="A47" s="67" t="s">
        <v>50</v>
      </c>
      <c r="B47" s="67"/>
      <c r="C47" s="126"/>
      <c r="D47" s="67"/>
      <c r="E47" s="67"/>
      <c r="F47" s="67"/>
      <c r="G47" s="67"/>
      <c r="H47" s="157"/>
      <c r="I47" s="157"/>
      <c r="J47" s="157"/>
    </row>
    <row r="48" spans="1:11" ht="15">
      <c r="A48" s="67"/>
      <c r="B48" s="67"/>
      <c r="C48" s="128" t="s">
        <v>51</v>
      </c>
      <c r="D48" s="67"/>
      <c r="E48" s="129"/>
      <c r="F48" s="129"/>
      <c r="G48" s="129"/>
      <c r="H48" s="59"/>
      <c r="I48" s="59"/>
      <c r="J48" s="59"/>
      <c r="K48" s="59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</sheetData>
  <sheetProtection/>
  <mergeCells count="24">
    <mergeCell ref="B43:C43"/>
    <mergeCell ref="F43:G43"/>
    <mergeCell ref="B38:C38"/>
    <mergeCell ref="F38:G38"/>
    <mergeCell ref="B39:C39"/>
    <mergeCell ref="F39:G39"/>
    <mergeCell ref="B41:C41"/>
    <mergeCell ref="B42:C42"/>
    <mergeCell ref="F41:G41"/>
    <mergeCell ref="F42:G42"/>
    <mergeCell ref="B40:C40"/>
    <mergeCell ref="F40:G40"/>
    <mergeCell ref="A11:K11"/>
    <mergeCell ref="A32:C32"/>
    <mergeCell ref="B37:C37"/>
    <mergeCell ref="F37:G37"/>
    <mergeCell ref="A35:G35"/>
    <mergeCell ref="A31:F3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PageLayoutView="0" workbookViewId="0" topLeftCell="A31">
      <selection activeCell="A43" sqref="A43"/>
    </sheetView>
  </sheetViews>
  <sheetFormatPr defaultColWidth="9.140625" defaultRowHeight="15" outlineLevelCol="1"/>
  <cols>
    <col min="1" max="1" width="6.00390625" style="57" customWidth="1"/>
    <col min="2" max="2" width="48.140625" style="57" customWidth="1"/>
    <col min="3" max="3" width="13.14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1"/>
    <col min="10" max="10" width="10.140625" style="57" hidden="1" customWidth="1" outlineLevel="1"/>
    <col min="11" max="11" width="10.421875" style="57" customWidth="1" collapsed="1"/>
    <col min="12" max="12" width="9.140625" style="57" customWidth="1"/>
    <col min="13" max="13" width="10.00390625" style="57" bestFit="1" customWidth="1"/>
    <col min="14" max="14" width="15.8515625" style="57" customWidth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300</v>
      </c>
      <c r="H7" s="60"/>
    </row>
    <row r="8" spans="1:8" s="59" customFormat="1" ht="12.75">
      <c r="A8" s="59" t="s">
        <v>3</v>
      </c>
      <c r="F8" s="305" t="s">
        <v>301</v>
      </c>
      <c r="H8" s="277">
        <v>178.4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523</v>
      </c>
      <c r="B13" s="64"/>
      <c r="C13" s="64"/>
      <c r="D13" s="69"/>
      <c r="E13" s="70"/>
      <c r="F13" s="70"/>
      <c r="G13" s="309">
        <f>'[1]Кооперативная1дробь2'!$G$34</f>
        <v>171774.8706</v>
      </c>
      <c r="H13" s="62"/>
      <c r="I13" s="62"/>
    </row>
    <row r="14" s="59" customFormat="1" ht="6.75" customHeight="1"/>
    <row r="15" spans="1:7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</row>
    <row r="16" spans="1:14" s="59" customFormat="1" ht="14.25">
      <c r="A16" s="75" t="s">
        <v>14</v>
      </c>
      <c r="B16" s="41" t="s">
        <v>15</v>
      </c>
      <c r="C16" s="97">
        <f>C17+C18+C19+C20</f>
        <v>10.34</v>
      </c>
      <c r="D16" s="76">
        <v>956655.13</v>
      </c>
      <c r="E16" s="76">
        <v>941604.38</v>
      </c>
      <c r="F16" s="76">
        <f aca="true" t="shared" si="0" ref="F16:F22">D16</f>
        <v>956655.13</v>
      </c>
      <c r="G16" s="77">
        <f>D16-E16</f>
        <v>15050.75</v>
      </c>
      <c r="H16" s="78">
        <f>C16</f>
        <v>10.34</v>
      </c>
      <c r="I16" s="79"/>
      <c r="J16" s="79"/>
      <c r="K16" s="79"/>
      <c r="M16" s="78"/>
      <c r="N16" s="80"/>
    </row>
    <row r="17" spans="1:9" s="59" customFormat="1" ht="15">
      <c r="A17" s="81" t="s">
        <v>16</v>
      </c>
      <c r="B17" s="34" t="s">
        <v>17</v>
      </c>
      <c r="C17" s="82">
        <v>3.46</v>
      </c>
      <c r="D17" s="83">
        <f>D16*I17</f>
        <v>320118.64117988397</v>
      </c>
      <c r="E17" s="83">
        <f>E16*I17</f>
        <v>315082.3167117989</v>
      </c>
      <c r="F17" s="83">
        <f t="shared" si="0"/>
        <v>320118.64117988397</v>
      </c>
      <c r="G17" s="84">
        <f>D17-E17</f>
        <v>5036.324468085077</v>
      </c>
      <c r="H17" s="78">
        <f>C17</f>
        <v>3.46</v>
      </c>
      <c r="I17" s="59">
        <f>H17/H16</f>
        <v>0.33462282398452614</v>
      </c>
    </row>
    <row r="18" spans="1:9" s="59" customFormat="1" ht="15">
      <c r="A18" s="81" t="s">
        <v>18</v>
      </c>
      <c r="B18" s="34" t="s">
        <v>19</v>
      </c>
      <c r="C18" s="82">
        <v>1.69</v>
      </c>
      <c r="D18" s="83">
        <f>D16*I18</f>
        <v>156358.5270502901</v>
      </c>
      <c r="E18" s="83">
        <f>E16*I18</f>
        <v>153898.5882205029</v>
      </c>
      <c r="F18" s="83">
        <f t="shared" si="0"/>
        <v>156358.5270502901</v>
      </c>
      <c r="G18" s="84">
        <f>E18-D18</f>
        <v>-2459.938829787221</v>
      </c>
      <c r="H18" s="78">
        <f>C18</f>
        <v>1.69</v>
      </c>
      <c r="I18" s="59">
        <f>H18/H16</f>
        <v>0.1634429400386847</v>
      </c>
    </row>
    <row r="19" spans="1:9" s="59" customFormat="1" ht="15">
      <c r="A19" s="81" t="s">
        <v>20</v>
      </c>
      <c r="B19" s="34" t="s">
        <v>21</v>
      </c>
      <c r="C19" s="82">
        <v>2.15</v>
      </c>
      <c r="D19" s="83">
        <f>D16*I19</f>
        <v>198917.65275628626</v>
      </c>
      <c r="E19" s="83">
        <f>E16*I19</f>
        <v>195788.14477756288</v>
      </c>
      <c r="F19" s="83">
        <f t="shared" si="0"/>
        <v>198917.65275628626</v>
      </c>
      <c r="G19" s="84">
        <f>D19-E19</f>
        <v>3129.5079787233844</v>
      </c>
      <c r="H19" s="78">
        <f>C19</f>
        <v>2.15</v>
      </c>
      <c r="I19" s="59">
        <f>H19/H16</f>
        <v>0.2079303675048356</v>
      </c>
    </row>
    <row r="20" spans="1:9" s="59" customFormat="1" ht="15">
      <c r="A20" s="81" t="s">
        <v>22</v>
      </c>
      <c r="B20" s="34" t="s">
        <v>23</v>
      </c>
      <c r="C20" s="82">
        <v>3.04</v>
      </c>
      <c r="D20" s="83">
        <f>D16*I20</f>
        <v>281260.3090135397</v>
      </c>
      <c r="E20" s="83">
        <f>E16*I20</f>
        <v>276835.3302901354</v>
      </c>
      <c r="F20" s="83">
        <f t="shared" si="0"/>
        <v>281260.3090135397</v>
      </c>
      <c r="G20" s="84">
        <f>D20-E20</f>
        <v>4424.978723404289</v>
      </c>
      <c r="H20" s="78">
        <f>C20</f>
        <v>3.04</v>
      </c>
      <c r="I20" s="59">
        <f>H20/H16</f>
        <v>0.2940038684719536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14.25">
      <c r="A22" s="86" t="s">
        <v>27</v>
      </c>
      <c r="B22" s="86" t="s">
        <v>302</v>
      </c>
      <c r="C22" s="46">
        <v>2.2</v>
      </c>
      <c r="D22" s="87">
        <v>200167.44</v>
      </c>
      <c r="E22" s="87">
        <v>200509.1</v>
      </c>
      <c r="F22" s="87">
        <f t="shared" si="0"/>
        <v>200167.44</v>
      </c>
      <c r="G22" s="77">
        <f t="shared" si="1"/>
        <v>-341.6600000000035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3.86</v>
      </c>
      <c r="D23" s="87">
        <v>351202.92</v>
      </c>
      <c r="E23" s="87">
        <v>351780.66</v>
      </c>
      <c r="F23" s="87">
        <v>0</v>
      </c>
      <c r="G23" s="77">
        <f t="shared" si="1"/>
        <v>-577.7399999999907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2.06</v>
      </c>
      <c r="D24" s="87">
        <v>187429.56</v>
      </c>
      <c r="E24" s="87">
        <v>187738.6</v>
      </c>
      <c r="F24" s="87">
        <f>F38</f>
        <v>41668.386</v>
      </c>
      <c r="G24" s="77">
        <f t="shared" si="1"/>
        <v>-309.04000000000815</v>
      </c>
      <c r="H24" s="88"/>
      <c r="I24" s="88"/>
      <c r="J24" s="88"/>
      <c r="K24" s="88"/>
    </row>
    <row r="25" spans="1:11" ht="25.5">
      <c r="A25" s="41" t="s">
        <v>33</v>
      </c>
      <c r="B25" s="41" t="s">
        <v>163</v>
      </c>
      <c r="C25" s="97" t="s">
        <v>366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4441310.76</v>
      </c>
      <c r="E26" s="77">
        <f>SUM(E27:E30)</f>
        <v>4434062.84</v>
      </c>
      <c r="F26" s="77">
        <f>SUM(F27:F30)</f>
        <v>4441310.76</v>
      </c>
      <c r="G26" s="77">
        <f t="shared" si="1"/>
        <v>7247.9199999999255</v>
      </c>
      <c r="H26" s="98"/>
      <c r="I26" s="98"/>
      <c r="J26" s="98"/>
      <c r="K26" s="98"/>
    </row>
    <row r="27" spans="1:7" ht="15">
      <c r="A27" s="34" t="s">
        <v>37</v>
      </c>
      <c r="B27" s="34" t="s">
        <v>261</v>
      </c>
      <c r="C27" s="289" t="s">
        <v>406</v>
      </c>
      <c r="D27" s="84">
        <v>1131330.14</v>
      </c>
      <c r="E27" s="84">
        <v>1113787.42</v>
      </c>
      <c r="F27" s="84">
        <f>D27</f>
        <v>1131330.14</v>
      </c>
      <c r="G27" s="84">
        <f t="shared" si="1"/>
        <v>17542.719999999972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507716.5</v>
      </c>
      <c r="E28" s="84">
        <v>540839.84</v>
      </c>
      <c r="F28" s="84">
        <f>D28</f>
        <v>507716.5</v>
      </c>
      <c r="G28" s="84">
        <f t="shared" si="1"/>
        <v>-33123.33999999997</v>
      </c>
    </row>
    <row r="29" spans="1:7" ht="15">
      <c r="A29" s="34" t="s">
        <v>42</v>
      </c>
      <c r="B29" s="51" t="s">
        <v>421</v>
      </c>
      <c r="C29" s="290" t="s">
        <v>524</v>
      </c>
      <c r="D29" s="84">
        <v>701318.38</v>
      </c>
      <c r="E29" s="84">
        <v>694706.64</v>
      </c>
      <c r="F29" s="84">
        <f>D29</f>
        <v>701318.38</v>
      </c>
      <c r="G29" s="84">
        <f t="shared" si="1"/>
        <v>6611.739999999991</v>
      </c>
    </row>
    <row r="30" spans="1:7" s="276" customFormat="1" ht="15">
      <c r="A30" s="271" t="s">
        <v>41</v>
      </c>
      <c r="B30" s="271" t="s">
        <v>43</v>
      </c>
      <c r="C30" s="290" t="s">
        <v>407</v>
      </c>
      <c r="D30" s="213">
        <v>2100945.74</v>
      </c>
      <c r="E30" s="213">
        <v>2084728.94</v>
      </c>
      <c r="F30" s="213">
        <f>D30</f>
        <v>2100945.74</v>
      </c>
      <c r="G30" s="84">
        <f t="shared" si="1"/>
        <v>16216.80000000028</v>
      </c>
    </row>
    <row r="31" spans="1:9" s="102" customFormat="1" ht="16.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309">
        <v>1292083.34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310">
        <f>G13+E24-F24</f>
        <v>317845.0846</v>
      </c>
      <c r="H34" s="62"/>
      <c r="I34" s="62"/>
    </row>
    <row r="35" spans="1:11" ht="31.5" customHeight="1">
      <c r="A35" s="546" t="s">
        <v>182</v>
      </c>
      <c r="B35" s="547"/>
      <c r="C35" s="547"/>
      <c r="D35" s="547"/>
      <c r="E35" s="547"/>
      <c r="F35" s="547"/>
      <c r="G35" s="54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SUM(F39:G42)</f>
        <v>41668.386</v>
      </c>
      <c r="G38" s="419"/>
      <c r="H38" s="250"/>
      <c r="I38" s="251"/>
      <c r="L38" s="116"/>
    </row>
    <row r="39" spans="1:12" s="115" customFormat="1" ht="15" customHeight="1">
      <c r="A39" s="81" t="s">
        <v>16</v>
      </c>
      <c r="B39" s="569" t="s">
        <v>546</v>
      </c>
      <c r="C39" s="442"/>
      <c r="D39" s="351" t="s">
        <v>166</v>
      </c>
      <c r="E39" s="351">
        <v>1</v>
      </c>
      <c r="F39" s="431">
        <v>39351</v>
      </c>
      <c r="G39" s="431"/>
      <c r="H39" s="113"/>
      <c r="I39" s="114"/>
      <c r="L39" s="116"/>
    </row>
    <row r="40" spans="1:12" s="115" customFormat="1" ht="15" customHeight="1">
      <c r="A40" s="81" t="s">
        <v>18</v>
      </c>
      <c r="B40" s="569" t="s">
        <v>547</v>
      </c>
      <c r="C40" s="442"/>
      <c r="D40" s="351" t="s">
        <v>548</v>
      </c>
      <c r="E40" s="351">
        <v>1</v>
      </c>
      <c r="F40" s="431">
        <v>440</v>
      </c>
      <c r="G40" s="431"/>
      <c r="H40" s="113"/>
      <c r="I40" s="114"/>
      <c r="L40" s="116"/>
    </row>
    <row r="41" spans="1:12" s="115" customFormat="1" ht="15" customHeight="1">
      <c r="A41" s="81" t="s">
        <v>20</v>
      </c>
      <c r="B41" s="570"/>
      <c r="C41" s="571"/>
      <c r="D41" s="195"/>
      <c r="E41" s="195"/>
      <c r="F41" s="429"/>
      <c r="G41" s="429"/>
      <c r="H41" s="113"/>
      <c r="I41" s="114"/>
      <c r="L41" s="116"/>
    </row>
    <row r="42" spans="1:11" s="67" customFormat="1" ht="15">
      <c r="A42" s="34" t="s">
        <v>22</v>
      </c>
      <c r="B42" s="440" t="s">
        <v>191</v>
      </c>
      <c r="C42" s="441"/>
      <c r="D42" s="124"/>
      <c r="E42" s="124"/>
      <c r="F42" s="429">
        <f>E24*1%</f>
        <v>1877.3860000000002</v>
      </c>
      <c r="G42" s="429"/>
      <c r="H42" s="59"/>
      <c r="I42" s="59"/>
      <c r="J42" s="59"/>
      <c r="K42" s="59"/>
    </row>
    <row r="43" s="59" customFormat="1" ht="9" customHeight="1"/>
    <row r="44" spans="1:11" s="59" customFormat="1" ht="15">
      <c r="A44" s="67" t="s">
        <v>55</v>
      </c>
      <c r="B44" s="67"/>
      <c r="C44" s="126" t="s">
        <v>49</v>
      </c>
      <c r="D44" s="67"/>
      <c r="E44" s="67"/>
      <c r="F44" s="67" t="s">
        <v>90</v>
      </c>
      <c r="G44" s="67"/>
      <c r="H44" s="67"/>
      <c r="I44" s="67"/>
      <c r="J44" s="67"/>
      <c r="K44" s="67"/>
    </row>
    <row r="45" spans="1:7" s="59" customFormat="1" ht="15">
      <c r="A45" s="67"/>
      <c r="B45" s="67"/>
      <c r="C45" s="126"/>
      <c r="D45" s="67"/>
      <c r="E45" s="67"/>
      <c r="F45" s="127" t="s">
        <v>438</v>
      </c>
      <c r="G45" s="67"/>
    </row>
    <row r="46" spans="1:10" s="59" customFormat="1" ht="15">
      <c r="A46" s="67" t="s">
        <v>50</v>
      </c>
      <c r="B46" s="67"/>
      <c r="C46" s="126"/>
      <c r="D46" s="67"/>
      <c r="E46" s="67"/>
      <c r="F46" s="67"/>
      <c r="G46" s="67"/>
      <c r="H46" s="157"/>
      <c r="I46" s="157"/>
      <c r="J46" s="157"/>
    </row>
    <row r="47" spans="1:11" ht="15">
      <c r="A47" s="67"/>
      <c r="B47" s="67"/>
      <c r="C47" s="128" t="s">
        <v>51</v>
      </c>
      <c r="D47" s="67"/>
      <c r="E47" s="129"/>
      <c r="F47" s="129"/>
      <c r="G47" s="129"/>
      <c r="H47" s="59"/>
      <c r="I47" s="59"/>
      <c r="J47" s="59"/>
      <c r="K47" s="59"/>
    </row>
    <row r="48" spans="1:11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</sheetData>
  <sheetProtection/>
  <mergeCells count="22">
    <mergeCell ref="B39:C39"/>
    <mergeCell ref="B40:C40"/>
    <mergeCell ref="B41:C41"/>
    <mergeCell ref="F39:G39"/>
    <mergeCell ref="F40:G40"/>
    <mergeCell ref="F41:G41"/>
    <mergeCell ref="B42:C42"/>
    <mergeCell ref="F42:G42"/>
    <mergeCell ref="B38:C38"/>
    <mergeCell ref="F38:G38"/>
    <mergeCell ref="A11:K11"/>
    <mergeCell ref="A32:C32"/>
    <mergeCell ref="A35:G35"/>
    <mergeCell ref="B37:C37"/>
    <mergeCell ref="F37:G37"/>
    <mergeCell ref="A31:F31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PageLayoutView="0" workbookViewId="0" topLeftCell="A31">
      <selection activeCell="F43" sqref="F43"/>
    </sheetView>
  </sheetViews>
  <sheetFormatPr defaultColWidth="9.140625" defaultRowHeight="15" outlineLevelCol="2"/>
  <cols>
    <col min="1" max="1" width="6.00390625" style="57" customWidth="1"/>
    <col min="2" max="2" width="48.140625" style="57" customWidth="1"/>
    <col min="3" max="3" width="14.00390625" style="57" customWidth="1"/>
    <col min="4" max="4" width="14.8515625" style="57" customWidth="1"/>
    <col min="5" max="6" width="13.28125" style="57" customWidth="1"/>
    <col min="7" max="7" width="14.57421875" style="57" customWidth="1"/>
    <col min="8" max="9" width="11.57421875" style="57" hidden="1" customWidth="1" outlineLevel="2"/>
    <col min="10" max="10" width="10.140625" style="57" hidden="1" customWidth="1" outlineLevel="2"/>
    <col min="11" max="11" width="10.421875" style="57" hidden="1" customWidth="1" outlineLevel="1" collapsed="1"/>
    <col min="12" max="12" width="9.140625" style="57" hidden="1" customWidth="1" outlineLevel="1"/>
    <col min="13" max="13" width="10.00390625" style="57" hidden="1" customWidth="1" outlineLevel="1"/>
    <col min="14" max="14" width="15.8515625" style="57" customWidth="1" collapsed="1"/>
    <col min="15" max="16384" width="9.140625" style="57" customWidth="1"/>
  </cols>
  <sheetData>
    <row r="1" spans="1:11" ht="12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>
      <c r="A2" s="376" t="s">
        <v>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3.5" customHeight="1">
      <c r="A3" s="376" t="s">
        <v>401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6.5" customHeight="1">
      <c r="A5" s="377" t="s">
        <v>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7" spans="1:8" s="59" customFormat="1" ht="16.5" customHeight="1">
      <c r="A7" s="59" t="s">
        <v>2</v>
      </c>
      <c r="F7" s="60" t="s">
        <v>369</v>
      </c>
      <c r="H7" s="60"/>
    </row>
    <row r="8" spans="1:10" s="59" customFormat="1" ht="12.75">
      <c r="A8" s="59" t="s">
        <v>3</v>
      </c>
      <c r="F8" s="305" t="s">
        <v>525</v>
      </c>
      <c r="H8" s="308">
        <v>632.8</v>
      </c>
      <c r="I8" s="61">
        <f>698.8+393</f>
        <v>1091.8</v>
      </c>
      <c r="J8" s="61">
        <v>1612.8</v>
      </c>
    </row>
    <row r="9" spans="1:11" s="59" customFormat="1" ht="12.75">
      <c r="A9" s="378" t="s">
        <v>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s="59" customFormat="1" ht="12.75">
      <c r="A10" s="378" t="s">
        <v>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59" customFormat="1" ht="12.75">
      <c r="A11" s="378" t="s">
        <v>10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9" s="67" customFormat="1" ht="6" customHeight="1" thickBot="1">
      <c r="A12" s="68"/>
      <c r="B12" s="68"/>
      <c r="C12" s="68"/>
      <c r="D12" s="40"/>
      <c r="E12" s="66"/>
      <c r="F12" s="66"/>
      <c r="G12" s="66"/>
      <c r="H12" s="62"/>
      <c r="I12" s="62"/>
    </row>
    <row r="13" spans="1:9" s="67" customFormat="1" ht="15.75" thickBot="1">
      <c r="A13" s="63" t="s">
        <v>448</v>
      </c>
      <c r="B13" s="64"/>
      <c r="C13" s="64"/>
      <c r="D13" s="69"/>
      <c r="E13" s="70"/>
      <c r="F13" s="70"/>
      <c r="G13" s="65">
        <f>'[1]Парижской Коммуны,1а'!$G$34</f>
        <v>11862.9411</v>
      </c>
      <c r="H13" s="62"/>
      <c r="I13" s="62"/>
    </row>
    <row r="14" s="59" customFormat="1" ht="6.75" customHeight="1"/>
    <row r="15" spans="1:12" s="74" customFormat="1" ht="38.25">
      <c r="A15" s="72" t="s">
        <v>11</v>
      </c>
      <c r="B15" s="72" t="s">
        <v>12</v>
      </c>
      <c r="C15" s="72" t="s">
        <v>91</v>
      </c>
      <c r="D15" s="72" t="s">
        <v>402</v>
      </c>
      <c r="E15" s="72" t="s">
        <v>403</v>
      </c>
      <c r="F15" s="73" t="s">
        <v>404</v>
      </c>
      <c r="G15" s="72" t="s">
        <v>405</v>
      </c>
      <c r="K15" s="74">
        <f>192.1+232.4+208.3</f>
        <v>632.8</v>
      </c>
      <c r="L15" s="74">
        <f>1612.8+698.8+393</f>
        <v>2704.6</v>
      </c>
    </row>
    <row r="16" spans="1:14" s="59" customFormat="1" ht="14.25">
      <c r="A16" s="75" t="s">
        <v>14</v>
      </c>
      <c r="B16" s="41" t="s">
        <v>15</v>
      </c>
      <c r="C16" s="97">
        <f>C17+C18+C19+C20</f>
        <v>9.510000000000002</v>
      </c>
      <c r="D16" s="76">
        <v>426453.68</v>
      </c>
      <c r="E16" s="76">
        <v>373725.83</v>
      </c>
      <c r="F16" s="76">
        <f aca="true" t="shared" si="0" ref="F16:F22">D16</f>
        <v>426453.68</v>
      </c>
      <c r="G16" s="77">
        <f>D16-E16</f>
        <v>52727.84999999998</v>
      </c>
      <c r="H16" s="78">
        <f>C16</f>
        <v>9.510000000000002</v>
      </c>
      <c r="I16" s="79"/>
      <c r="J16" s="79"/>
      <c r="K16" s="79">
        <v>5.98</v>
      </c>
      <c r="L16" s="79">
        <v>10.34</v>
      </c>
      <c r="M16" s="78">
        <f>((K16*K15)+(L16*L15))/3337.4</f>
        <v>9.513306166476898</v>
      </c>
      <c r="N16" s="80"/>
    </row>
    <row r="17" spans="1:13" s="59" customFormat="1" ht="15">
      <c r="A17" s="81" t="s">
        <v>16</v>
      </c>
      <c r="B17" s="34" t="s">
        <v>17</v>
      </c>
      <c r="C17" s="82">
        <v>3.46</v>
      </c>
      <c r="D17" s="83">
        <f>D16*I17</f>
        <v>155155.59756046266</v>
      </c>
      <c r="E17" s="83">
        <f>E16*I17</f>
        <v>135971.7530809674</v>
      </c>
      <c r="F17" s="83">
        <f t="shared" si="0"/>
        <v>155155.59756046266</v>
      </c>
      <c r="G17" s="84">
        <f>D17-E17</f>
        <v>19183.844479495252</v>
      </c>
      <c r="H17" s="78">
        <f>C17</f>
        <v>3.46</v>
      </c>
      <c r="I17" s="59">
        <f>H17/H16</f>
        <v>0.3638275499474237</v>
      </c>
      <c r="K17" s="59">
        <v>3.46</v>
      </c>
      <c r="L17" s="59">
        <v>3.46</v>
      </c>
      <c r="M17" s="80">
        <f>(K15+L15)*L17/3337.4</f>
        <v>3.4599999999999995</v>
      </c>
    </row>
    <row r="18" spans="1:13" s="59" customFormat="1" ht="15">
      <c r="A18" s="81" t="s">
        <v>18</v>
      </c>
      <c r="B18" s="34" t="s">
        <v>19</v>
      </c>
      <c r="C18" s="82">
        <v>1.69</v>
      </c>
      <c r="D18" s="83">
        <f>D16*I18</f>
        <v>75784.09245005257</v>
      </c>
      <c r="E18" s="83">
        <f>E16*I18</f>
        <v>66413.94875920084</v>
      </c>
      <c r="F18" s="83">
        <f t="shared" si="0"/>
        <v>75784.09245005257</v>
      </c>
      <c r="G18" s="84">
        <f>D18-E18</f>
        <v>9370.143690851735</v>
      </c>
      <c r="H18" s="78">
        <f>C18</f>
        <v>1.69</v>
      </c>
      <c r="I18" s="59">
        <f>H18/H16</f>
        <v>0.17770767613038904</v>
      </c>
      <c r="K18" s="59">
        <v>1.69</v>
      </c>
      <c r="L18" s="59">
        <v>1.69</v>
      </c>
      <c r="M18" s="80">
        <f>(K15+L15)*L18/3337.4</f>
        <v>1.6899999999999997</v>
      </c>
    </row>
    <row r="19" spans="1:13" s="59" customFormat="1" ht="15">
      <c r="A19" s="81" t="s">
        <v>20</v>
      </c>
      <c r="B19" s="34" t="s">
        <v>21</v>
      </c>
      <c r="C19" s="82">
        <v>1.9</v>
      </c>
      <c r="D19" s="83">
        <f>D16*I19</f>
        <v>79730.24637644584</v>
      </c>
      <c r="E19" s="83">
        <f>E16*I19</f>
        <v>69872.18987802313</v>
      </c>
      <c r="F19" s="83">
        <f t="shared" si="0"/>
        <v>79730.24637644584</v>
      </c>
      <c r="G19" s="84">
        <f>D19-E19</f>
        <v>9858.05649842271</v>
      </c>
      <c r="H19" s="78">
        <v>1.778</v>
      </c>
      <c r="I19" s="59">
        <f>H19/H16</f>
        <v>0.18696109358569923</v>
      </c>
      <c r="K19" s="59">
        <v>0.83</v>
      </c>
      <c r="L19" s="59">
        <v>2.15</v>
      </c>
      <c r="M19" s="80">
        <f>((K19*K15)+(L19*L15))/3337.4</f>
        <v>1.8997165458141065</v>
      </c>
    </row>
    <row r="20" spans="1:13" s="59" customFormat="1" ht="15">
      <c r="A20" s="81" t="s">
        <v>22</v>
      </c>
      <c r="B20" s="34" t="s">
        <v>23</v>
      </c>
      <c r="C20" s="82">
        <v>2.46</v>
      </c>
      <c r="D20" s="83">
        <f>D16*I20</f>
        <v>97891.52296950576</v>
      </c>
      <c r="E20" s="83">
        <f>E16*I20</f>
        <v>85787.95866351208</v>
      </c>
      <c r="F20" s="83">
        <f t="shared" si="0"/>
        <v>97891.52296950576</v>
      </c>
      <c r="G20" s="84">
        <f>D20-E20</f>
        <v>12103.564305993685</v>
      </c>
      <c r="H20" s="78">
        <v>2.183</v>
      </c>
      <c r="I20" s="59">
        <f>H20/H16</f>
        <v>0.22954784437434275</v>
      </c>
      <c r="L20" s="59">
        <v>3.04</v>
      </c>
      <c r="M20" s="80">
        <f>((L20*L15))/3337.4</f>
        <v>2.4635896206627916</v>
      </c>
    </row>
    <row r="21" spans="1:11" s="89" customFormat="1" ht="14.25">
      <c r="A21" s="86" t="s">
        <v>25</v>
      </c>
      <c r="B21" s="86" t="s">
        <v>221</v>
      </c>
      <c r="C21" s="46">
        <v>0</v>
      </c>
      <c r="D21" s="87">
        <v>0</v>
      </c>
      <c r="E21" s="87">
        <v>0</v>
      </c>
      <c r="F21" s="87">
        <v>0</v>
      </c>
      <c r="G21" s="77">
        <f aca="true" t="shared" si="1" ref="G21:G30">D21-E21</f>
        <v>0</v>
      </c>
      <c r="H21" s="88"/>
      <c r="I21" s="88"/>
      <c r="J21" s="88"/>
      <c r="K21" s="88"/>
    </row>
    <row r="22" spans="1:11" s="89" customFormat="1" ht="25.5">
      <c r="A22" s="86" t="s">
        <v>27</v>
      </c>
      <c r="B22" s="86" t="s">
        <v>371</v>
      </c>
      <c r="C22" s="46" t="s">
        <v>370</v>
      </c>
      <c r="D22" s="87">
        <v>47610</v>
      </c>
      <c r="E22" s="87">
        <v>48252.73</v>
      </c>
      <c r="F22" s="87">
        <f t="shared" si="0"/>
        <v>47610</v>
      </c>
      <c r="G22" s="77">
        <f t="shared" si="1"/>
        <v>-642.7300000000032</v>
      </c>
      <c r="H22" s="88"/>
      <c r="I22" s="88"/>
      <c r="J22" s="88"/>
      <c r="K22" s="88"/>
    </row>
    <row r="23" spans="1:11" s="89" customFormat="1" ht="14.25">
      <c r="A23" s="86" t="s">
        <v>29</v>
      </c>
      <c r="B23" s="86" t="s">
        <v>26</v>
      </c>
      <c r="C23" s="46">
        <v>0</v>
      </c>
      <c r="D23" s="87">
        <v>0</v>
      </c>
      <c r="E23" s="87">
        <v>0</v>
      </c>
      <c r="F23" s="87">
        <v>0</v>
      </c>
      <c r="G23" s="77">
        <f t="shared" si="1"/>
        <v>0</v>
      </c>
      <c r="H23" s="88"/>
      <c r="I23" s="88"/>
      <c r="J23" s="88"/>
      <c r="K23" s="88"/>
    </row>
    <row r="24" spans="1:11" s="89" customFormat="1" ht="14.25">
      <c r="A24" s="86" t="s">
        <v>31</v>
      </c>
      <c r="B24" s="86" t="s">
        <v>116</v>
      </c>
      <c r="C24" s="95">
        <v>5</v>
      </c>
      <c r="D24" s="87">
        <v>44912</v>
      </c>
      <c r="E24" s="87">
        <v>33994.89</v>
      </c>
      <c r="F24" s="87">
        <f>F38</f>
        <v>138916.6589</v>
      </c>
      <c r="G24" s="77">
        <f t="shared" si="1"/>
        <v>10917.11</v>
      </c>
      <c r="H24" s="88"/>
      <c r="I24" s="88"/>
      <c r="J24" s="88"/>
      <c r="K24" s="88"/>
    </row>
    <row r="25" spans="1:11" ht="14.25">
      <c r="A25" s="41" t="s">
        <v>33</v>
      </c>
      <c r="B25" s="41" t="s">
        <v>163</v>
      </c>
      <c r="C25" s="97">
        <v>12.54</v>
      </c>
      <c r="D25" s="77">
        <v>0</v>
      </c>
      <c r="E25" s="77">
        <v>0</v>
      </c>
      <c r="F25" s="87">
        <f>D25</f>
        <v>0</v>
      </c>
      <c r="G25" s="77">
        <f t="shared" si="1"/>
        <v>0</v>
      </c>
      <c r="H25" s="98"/>
      <c r="I25" s="98"/>
      <c r="J25" s="98"/>
      <c r="K25" s="98"/>
    </row>
    <row r="26" spans="1:11" ht="14.25">
      <c r="A26" s="41" t="s">
        <v>35</v>
      </c>
      <c r="B26" s="41" t="s">
        <v>36</v>
      </c>
      <c r="C26" s="97"/>
      <c r="D26" s="77">
        <f>SUM(D27:D30)</f>
        <v>31048.760000000002</v>
      </c>
      <c r="E26" s="77">
        <f>SUM(E27:E30)</f>
        <v>33870.05</v>
      </c>
      <c r="F26" s="77">
        <f>SUM(F27:F30)</f>
        <v>31048.760000000002</v>
      </c>
      <c r="G26" s="77">
        <f t="shared" si="1"/>
        <v>-2821.290000000001</v>
      </c>
      <c r="H26" s="98"/>
      <c r="I26" s="98"/>
      <c r="J26" s="98"/>
      <c r="K26" s="98"/>
    </row>
    <row r="27" spans="1:7" ht="15">
      <c r="A27" s="34" t="s">
        <v>37</v>
      </c>
      <c r="B27" s="34" t="s">
        <v>167</v>
      </c>
      <c r="C27" s="289" t="s">
        <v>406</v>
      </c>
      <c r="D27" s="84">
        <v>15292.7</v>
      </c>
      <c r="E27" s="84">
        <v>15135.03</v>
      </c>
      <c r="F27" s="84">
        <f>D27</f>
        <v>15292.7</v>
      </c>
      <c r="G27" s="84">
        <f t="shared" si="1"/>
        <v>157.67000000000007</v>
      </c>
    </row>
    <row r="28" spans="1:7" ht="15">
      <c r="A28" s="34" t="s">
        <v>39</v>
      </c>
      <c r="B28" s="34" t="s">
        <v>138</v>
      </c>
      <c r="C28" s="289" t="s">
        <v>409</v>
      </c>
      <c r="D28" s="84">
        <v>2327.81</v>
      </c>
      <c r="E28" s="84">
        <v>5507.93</v>
      </c>
      <c r="F28" s="84">
        <f>D28</f>
        <v>2327.81</v>
      </c>
      <c r="G28" s="84">
        <f t="shared" si="1"/>
        <v>-3180.1200000000003</v>
      </c>
    </row>
    <row r="29" spans="1:7" ht="15">
      <c r="A29" s="34" t="s">
        <v>42</v>
      </c>
      <c r="B29" s="51" t="s">
        <v>421</v>
      </c>
      <c r="C29" s="290" t="s">
        <v>524</v>
      </c>
      <c r="D29" s="84">
        <v>13428.25</v>
      </c>
      <c r="E29" s="84">
        <v>13227.09</v>
      </c>
      <c r="F29" s="84">
        <f>D29</f>
        <v>13428.25</v>
      </c>
      <c r="G29" s="84">
        <f t="shared" si="1"/>
        <v>201.15999999999985</v>
      </c>
    </row>
    <row r="30" spans="1:7" s="276" customFormat="1" ht="15">
      <c r="A30" s="271" t="s">
        <v>41</v>
      </c>
      <c r="B30" s="271" t="s">
        <v>43</v>
      </c>
      <c r="C30" s="144">
        <v>0</v>
      </c>
      <c r="D30" s="213">
        <v>0</v>
      </c>
      <c r="E30" s="213">
        <v>0</v>
      </c>
      <c r="F30" s="213">
        <f>D30</f>
        <v>0</v>
      </c>
      <c r="G30" s="84">
        <f t="shared" si="1"/>
        <v>0</v>
      </c>
    </row>
    <row r="31" spans="1:9" s="102" customFormat="1" ht="19.5" customHeight="1" thickBot="1">
      <c r="A31" s="379" t="s">
        <v>328</v>
      </c>
      <c r="B31" s="380"/>
      <c r="C31" s="380"/>
      <c r="D31" s="381"/>
      <c r="E31" s="381"/>
      <c r="F31" s="381"/>
      <c r="G31" s="101"/>
      <c r="H31" s="101"/>
      <c r="I31" s="101"/>
    </row>
    <row r="32" spans="1:9" s="67" customFormat="1" ht="15.75" thickBot="1">
      <c r="A32" s="391" t="s">
        <v>410</v>
      </c>
      <c r="B32" s="392"/>
      <c r="C32" s="392"/>
      <c r="D32" s="284">
        <v>180137.19</v>
      </c>
      <c r="E32" s="66"/>
      <c r="F32" s="66"/>
      <c r="G32" s="66"/>
      <c r="H32" s="62"/>
      <c r="I32" s="62"/>
    </row>
    <row r="33" spans="1:9" s="67" customFormat="1" ht="6" customHeight="1" thickBot="1">
      <c r="A33" s="68"/>
      <c r="B33" s="68"/>
      <c r="C33" s="68"/>
      <c r="D33" s="40"/>
      <c r="E33" s="66"/>
      <c r="F33" s="66"/>
      <c r="G33" s="66"/>
      <c r="H33" s="62"/>
      <c r="I33" s="62"/>
    </row>
    <row r="34" spans="1:9" s="67" customFormat="1" ht="15.75" thickBot="1">
      <c r="A34" s="63" t="s">
        <v>413</v>
      </c>
      <c r="B34" s="64"/>
      <c r="C34" s="64"/>
      <c r="D34" s="69"/>
      <c r="E34" s="70"/>
      <c r="F34" s="70"/>
      <c r="G34" s="145">
        <f>G13+E24-F24</f>
        <v>-93058.82780000001</v>
      </c>
      <c r="H34" s="62"/>
      <c r="I34" s="62"/>
    </row>
    <row r="35" spans="1:11" ht="31.5" customHeight="1">
      <c r="A35" s="546" t="s">
        <v>182</v>
      </c>
      <c r="B35" s="547"/>
      <c r="C35" s="547"/>
      <c r="D35" s="547"/>
      <c r="E35" s="547"/>
      <c r="F35" s="547"/>
      <c r="G35" s="547"/>
      <c r="H35" s="58"/>
      <c r="I35" s="58"/>
      <c r="J35" s="58"/>
      <c r="K35" s="58"/>
    </row>
    <row r="37" spans="1:12" s="74" customFormat="1" ht="37.5" customHeight="1">
      <c r="A37" s="105" t="s">
        <v>11</v>
      </c>
      <c r="B37" s="401" t="s">
        <v>45</v>
      </c>
      <c r="C37" s="420"/>
      <c r="D37" s="105" t="s">
        <v>165</v>
      </c>
      <c r="E37" s="105" t="s">
        <v>164</v>
      </c>
      <c r="F37" s="401" t="s">
        <v>46</v>
      </c>
      <c r="G37" s="420"/>
      <c r="H37" s="248"/>
      <c r="I37" s="249"/>
      <c r="L37" s="108"/>
    </row>
    <row r="38" spans="1:12" s="115" customFormat="1" ht="15" customHeight="1">
      <c r="A38" s="109" t="s">
        <v>47</v>
      </c>
      <c r="B38" s="403" t="s">
        <v>111</v>
      </c>
      <c r="C38" s="425"/>
      <c r="D38" s="111"/>
      <c r="E38" s="111"/>
      <c r="F38" s="430">
        <f>SUM(F39:G42)</f>
        <v>138916.6589</v>
      </c>
      <c r="G38" s="419"/>
      <c r="H38" s="250"/>
      <c r="I38" s="251"/>
      <c r="L38" s="116"/>
    </row>
    <row r="39" spans="1:12" ht="15">
      <c r="A39" s="34" t="s">
        <v>16</v>
      </c>
      <c r="B39" s="413" t="s">
        <v>545</v>
      </c>
      <c r="C39" s="423"/>
      <c r="D39" s="349" t="s">
        <v>229</v>
      </c>
      <c r="E39" s="349">
        <v>0.4</v>
      </c>
      <c r="F39" s="566">
        <v>125076.71</v>
      </c>
      <c r="G39" s="567"/>
      <c r="H39" s="252"/>
      <c r="I39" s="253"/>
      <c r="L39" s="120"/>
    </row>
    <row r="40" spans="1:12" ht="15">
      <c r="A40" s="34" t="s">
        <v>18</v>
      </c>
      <c r="B40" s="382" t="s">
        <v>729</v>
      </c>
      <c r="C40" s="384"/>
      <c r="D40" s="349"/>
      <c r="E40" s="349"/>
      <c r="F40" s="449">
        <v>7000</v>
      </c>
      <c r="G40" s="450"/>
      <c r="H40" s="40"/>
      <c r="I40" s="40"/>
      <c r="L40" s="120"/>
    </row>
    <row r="41" spans="1:12" ht="15">
      <c r="A41" s="34" t="s">
        <v>20</v>
      </c>
      <c r="B41" s="382" t="s">
        <v>384</v>
      </c>
      <c r="C41" s="384"/>
      <c r="D41" s="119"/>
      <c r="E41" s="119"/>
      <c r="F41" s="449">
        <v>6500</v>
      </c>
      <c r="G41" s="450"/>
      <c r="H41" s="40"/>
      <c r="I41" s="40"/>
      <c r="L41" s="120"/>
    </row>
    <row r="42" spans="1:11" s="67" customFormat="1" ht="15">
      <c r="A42" s="34" t="s">
        <v>22</v>
      </c>
      <c r="B42" s="440" t="s">
        <v>191</v>
      </c>
      <c r="C42" s="441"/>
      <c r="D42" s="124"/>
      <c r="E42" s="124"/>
      <c r="F42" s="429">
        <f>E24*1%</f>
        <v>339.9489</v>
      </c>
      <c r="G42" s="429"/>
      <c r="H42" s="59"/>
      <c r="I42" s="59"/>
      <c r="J42" s="59"/>
      <c r="K42" s="59"/>
    </row>
    <row r="43" s="59" customFormat="1" ht="9" customHeight="1"/>
    <row r="44" spans="1:11" s="59" customFormat="1" ht="15">
      <c r="A44" s="67" t="s">
        <v>55</v>
      </c>
      <c r="B44" s="67"/>
      <c r="C44" s="126" t="s">
        <v>49</v>
      </c>
      <c r="D44" s="67"/>
      <c r="E44" s="67"/>
      <c r="F44" s="67" t="s">
        <v>90</v>
      </c>
      <c r="G44" s="67"/>
      <c r="H44" s="67"/>
      <c r="I44" s="67"/>
      <c r="J44" s="67"/>
      <c r="K44" s="67"/>
    </row>
    <row r="45" spans="1:7" s="59" customFormat="1" ht="15">
      <c r="A45" s="67"/>
      <c r="B45" s="67"/>
      <c r="C45" s="126"/>
      <c r="D45" s="67"/>
      <c r="E45" s="67"/>
      <c r="F45" s="127" t="s">
        <v>438</v>
      </c>
      <c r="G45" s="67"/>
    </row>
    <row r="46" spans="1:10" s="59" customFormat="1" ht="15">
      <c r="A46" s="67" t="s">
        <v>50</v>
      </c>
      <c r="B46" s="67"/>
      <c r="C46" s="126"/>
      <c r="D46" s="67"/>
      <c r="E46" s="67"/>
      <c r="F46" s="67"/>
      <c r="G46" s="67"/>
      <c r="H46" s="157"/>
      <c r="I46" s="157"/>
      <c r="J46" s="157"/>
    </row>
    <row r="47" spans="1:11" ht="15">
      <c r="A47" s="67"/>
      <c r="B47" s="67"/>
      <c r="C47" s="128" t="s">
        <v>51</v>
      </c>
      <c r="D47" s="67"/>
      <c r="E47" s="129"/>
      <c r="F47" s="129"/>
      <c r="G47" s="129"/>
      <c r="H47" s="59"/>
      <c r="I47" s="59"/>
      <c r="J47" s="59"/>
      <c r="K47" s="59"/>
    </row>
    <row r="48" spans="1:11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</sheetData>
  <sheetProtection/>
  <mergeCells count="22">
    <mergeCell ref="B42:C42"/>
    <mergeCell ref="F42:G42"/>
    <mergeCell ref="B38:C38"/>
    <mergeCell ref="F38:G38"/>
    <mergeCell ref="B39:C39"/>
    <mergeCell ref="F39:G39"/>
    <mergeCell ref="B41:C41"/>
    <mergeCell ref="F41:G41"/>
    <mergeCell ref="B40:C40"/>
    <mergeCell ref="F40:G40"/>
    <mergeCell ref="A11:K11"/>
    <mergeCell ref="A31:F31"/>
    <mergeCell ref="A32:C32"/>
    <mergeCell ref="A35:G35"/>
    <mergeCell ref="B37:C37"/>
    <mergeCell ref="F37:G37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2023-03-29T13:24:21Z</dcterms:modified>
  <cp:category/>
  <cp:version/>
  <cp:contentType/>
  <cp:contentStatus/>
</cp:coreProperties>
</file>